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metadata.xml" ContentType="application/vnd.openxmlformats-officedocument.spreadsheetml.sheetMetadata+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Shared\Documents\PROJECTS\Live\762 Local Partnerships - ULEV Waste Fleet\Project Delivery\Vehicle Data\Vehicle Performance Sheets\"/>
    </mc:Choice>
  </mc:AlternateContent>
  <xr:revisionPtr revIDLastSave="0" documentId="13_ncr:1_{EA092A58-8562-433E-ABFF-CB5204F32957}" xr6:coauthVersionLast="47" xr6:coauthVersionMax="47" xr10:uidLastSave="{00000000-0000-0000-0000-000000000000}"/>
  <workbookProtection workbookAlgorithmName="SHA-512" workbookHashValue="M0Dd+uDV/P9TFw7C3iann8YpceDSGSewX0yc8aVwNr8+16uncylb89OQlkFZz/tzTBs4aktvIQMye++xX806dQ==" workbookSaltValue="1AcXSWApjpRt0VyR9xCmsg==" workbookSpinCount="100000" lockStructure="1"/>
  <bookViews>
    <workbookView xWindow="-108" yWindow="-108" windowWidth="23256" windowHeight="12576" xr2:uid="{03C38383-AA5B-4917-AEF8-AE183CDD6982}"/>
  </bookViews>
  <sheets>
    <sheet name="How To Use" sheetId="3" r:id="rId1"/>
    <sheet name="Calculator" sheetId="1" r:id="rId2"/>
    <sheet name="Backend" sheetId="2" state="hidden" r:id="rId3"/>
    <sheet name="Dropdowns" sheetId="5" state="hidden" r:id="rId4"/>
    <sheet name="Sensitivity"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E24" i="1"/>
  <c r="F7" i="1" l="1"/>
  <c r="F8" i="1"/>
  <c r="F9" i="1"/>
  <c r="F10" i="1"/>
  <c r="F6" i="1"/>
  <c r="P48" i="2" l="1"/>
  <c r="Q48" i="2"/>
  <c r="R48" i="2"/>
  <c r="S48" i="2"/>
  <c r="T48" i="2"/>
  <c r="U48" i="2"/>
  <c r="V48" i="2"/>
  <c r="W48" i="2"/>
  <c r="X48" i="2"/>
  <c r="Y48" i="2"/>
  <c r="Z48" i="2"/>
  <c r="O48" i="2"/>
  <c r="G4" i="2" l="1"/>
  <c r="G16" i="2" l="1"/>
  <c r="D8" i="1"/>
  <c r="G8" i="2" s="1"/>
  <c r="G9" i="2" s="1"/>
  <c r="J9" i="2" s="1"/>
  <c r="D9" i="1"/>
  <c r="G10" i="2" s="1"/>
  <c r="D10" i="1"/>
  <c r="G6" i="2" s="1"/>
  <c r="E23" i="1" l="1"/>
  <c r="E18" i="1"/>
  <c r="L1" i="4" l="1"/>
  <c r="K1" i="4"/>
  <c r="J1" i="4"/>
  <c r="I1" i="4"/>
  <c r="H1" i="4"/>
  <c r="G1" i="4"/>
  <c r="E6" i="4"/>
  <c r="E7" i="4"/>
  <c r="K18" i="4" s="1"/>
  <c r="K19" i="4" s="1"/>
  <c r="E8" i="4"/>
  <c r="L18" i="4" s="1"/>
  <c r="L19" i="4" s="1"/>
  <c r="E9" i="4"/>
  <c r="I18" i="4" s="1"/>
  <c r="J18" i="4" s="1"/>
  <c r="J19" i="4" s="1"/>
  <c r="E5" i="4"/>
  <c r="B6" i="4"/>
  <c r="C6" i="4"/>
  <c r="B7" i="4"/>
  <c r="K7" i="4" s="1"/>
  <c r="K14" i="4" s="1"/>
  <c r="C7" i="4"/>
  <c r="U7" i="4" s="1"/>
  <c r="U14" i="4" s="1"/>
  <c r="B8" i="4"/>
  <c r="L8" i="4" s="1"/>
  <c r="L15" i="4" s="1"/>
  <c r="C8" i="4"/>
  <c r="V8" i="4" s="1"/>
  <c r="V15" i="4" s="1"/>
  <c r="B9" i="4"/>
  <c r="I9" i="4" s="1"/>
  <c r="C9" i="4"/>
  <c r="S9" i="4" s="1"/>
  <c r="T9" i="4" s="1"/>
  <c r="T16" i="4" s="1"/>
  <c r="C5" i="4"/>
  <c r="B5" i="4"/>
  <c r="G6" i="4" l="1"/>
  <c r="G13" i="4" s="1"/>
  <c r="I19" i="4"/>
  <c r="I8" i="4"/>
  <c r="J8" i="4" s="1"/>
  <c r="J15" i="4" s="1"/>
  <c r="G5" i="4"/>
  <c r="G12" i="4" s="1"/>
  <c r="Q6" i="4"/>
  <c r="R6" i="4" s="1"/>
  <c r="R13" i="4" s="1"/>
  <c r="K6" i="4"/>
  <c r="K13" i="4" s="1"/>
  <c r="U8" i="4"/>
  <c r="U15" i="4" s="1"/>
  <c r="L9" i="4"/>
  <c r="L16" i="4" s="1"/>
  <c r="L7" i="4"/>
  <c r="L14" i="4" s="1"/>
  <c r="U5" i="4"/>
  <c r="U12" i="4" s="1"/>
  <c r="U6" i="4"/>
  <c r="U13" i="4" s="1"/>
  <c r="V6" i="4"/>
  <c r="V13" i="4" s="1"/>
  <c r="I7" i="4"/>
  <c r="I6" i="4"/>
  <c r="L6" i="4"/>
  <c r="L13" i="4" s="1"/>
  <c r="S8" i="4"/>
  <c r="S15" i="4" s="1"/>
  <c r="V5" i="4"/>
  <c r="V12" i="4" s="1"/>
  <c r="S5" i="4"/>
  <c r="T5" i="4" s="1"/>
  <c r="T12" i="4" s="1"/>
  <c r="K5" i="4"/>
  <c r="K12" i="4" s="1"/>
  <c r="S7" i="4"/>
  <c r="T7" i="4" s="1"/>
  <c r="T14" i="4" s="1"/>
  <c r="V9" i="4"/>
  <c r="V16" i="4" s="1"/>
  <c r="G18" i="4"/>
  <c r="G9" i="4"/>
  <c r="K9" i="4"/>
  <c r="K16" i="4" s="1"/>
  <c r="G8" i="4"/>
  <c r="Q9" i="4"/>
  <c r="V7" i="4"/>
  <c r="V14" i="4" s="1"/>
  <c r="K8" i="4"/>
  <c r="K15" i="4" s="1"/>
  <c r="G7" i="4"/>
  <c r="Q8" i="4"/>
  <c r="S6" i="4"/>
  <c r="S13" i="4" s="1"/>
  <c r="Q7" i="4"/>
  <c r="R7" i="4" s="1"/>
  <c r="R14" i="4" s="1"/>
  <c r="I5" i="4"/>
  <c r="L5" i="4"/>
  <c r="L12" i="4" s="1"/>
  <c r="U9" i="4"/>
  <c r="U16" i="4" s="1"/>
  <c r="J9" i="4"/>
  <c r="J16" i="4" s="1"/>
  <c r="I16" i="4"/>
  <c r="Q5" i="4"/>
  <c r="R5" i="4" s="1"/>
  <c r="R12" i="4" s="1"/>
  <c r="S16" i="4"/>
  <c r="I15" i="4" l="1"/>
  <c r="Q13" i="4"/>
  <c r="T6" i="4"/>
  <c r="T13" i="4" s="1"/>
  <c r="H5" i="4"/>
  <c r="H12" i="4" s="1"/>
  <c r="H6" i="4"/>
  <c r="H13" i="4" s="1"/>
  <c r="Q14" i="4"/>
  <c r="R9" i="4"/>
  <c r="R16" i="4" s="1"/>
  <c r="Q16" i="4"/>
  <c r="J5" i="4"/>
  <c r="J12" i="4" s="1"/>
  <c r="I12" i="4"/>
  <c r="H7" i="4"/>
  <c r="H14" i="4" s="1"/>
  <c r="G14" i="4"/>
  <c r="H8" i="4"/>
  <c r="H15" i="4" s="1"/>
  <c r="G15" i="4"/>
  <c r="Q15" i="4"/>
  <c r="R8" i="4"/>
  <c r="R15" i="4" s="1"/>
  <c r="H18" i="4"/>
  <c r="H19" i="4" s="1"/>
  <c r="G19" i="4"/>
  <c r="G16" i="4"/>
  <c r="H9" i="4"/>
  <c r="H16" i="4" s="1"/>
  <c r="J6" i="4"/>
  <c r="J13" i="4" s="1"/>
  <c r="I13" i="4"/>
  <c r="S12" i="4"/>
  <c r="S14" i="4"/>
  <c r="T8" i="4"/>
  <c r="T15" i="4" s="1"/>
  <c r="J7" i="4"/>
  <c r="J14" i="4" s="1"/>
  <c r="I14" i="4"/>
  <c r="Q12" i="4"/>
  <c r="J10" i="2"/>
  <c r="D31" i="4" l="1"/>
  <c r="N5" i="4"/>
  <c r="O5" i="4" s="1"/>
  <c r="B31" i="4" s="1"/>
  <c r="X6" i="4"/>
  <c r="Y6" i="4" s="1"/>
  <c r="C32" i="4" s="1"/>
  <c r="X7" i="4"/>
  <c r="Y7" i="4" s="1"/>
  <c r="C33" i="4" s="1"/>
  <c r="X5" i="4"/>
  <c r="Y5" i="4" s="1"/>
  <c r="C31" i="4" s="1"/>
  <c r="N6" i="4"/>
  <c r="O6" i="4" s="1"/>
  <c r="B32" i="4" s="1"/>
  <c r="N7" i="4"/>
  <c r="O7" i="4" s="1"/>
  <c r="B33" i="4" s="1"/>
  <c r="N8" i="4"/>
  <c r="O8" i="4" s="1"/>
  <c r="B34" i="4" s="1"/>
  <c r="X8" i="4"/>
  <c r="Y8" i="4" s="1"/>
  <c r="C34" i="4" s="1"/>
  <c r="N9" i="4"/>
  <c r="O9" i="4" s="1"/>
  <c r="C35" i="4" s="1"/>
  <c r="X9" i="4"/>
  <c r="Y9" i="4" s="1"/>
  <c r="B35" i="4" s="1"/>
  <c r="J8" i="2"/>
  <c r="J4" i="2"/>
  <c r="F31" i="4" l="1"/>
  <c r="E31" i="4"/>
  <c r="G5" i="2"/>
  <c r="J5" i="2" s="1"/>
  <c r="X9" i="2" s="1"/>
  <c r="X38" i="2" s="1"/>
  <c r="Q19" i="2"/>
  <c r="R19" i="2"/>
  <c r="S19" i="2"/>
  <c r="T19" i="2"/>
  <c r="U19" i="2"/>
  <c r="V19" i="2"/>
  <c r="W19" i="2"/>
  <c r="X19" i="2"/>
  <c r="Y19" i="2"/>
  <c r="Z19" i="2"/>
  <c r="Q20" i="2"/>
  <c r="R20" i="2"/>
  <c r="S20" i="2"/>
  <c r="T20" i="2"/>
  <c r="U20" i="2"/>
  <c r="V20" i="2"/>
  <c r="W20" i="2"/>
  <c r="X20" i="2"/>
  <c r="Y20" i="2"/>
  <c r="Z20" i="2"/>
  <c r="P20" i="2"/>
  <c r="O34" i="2"/>
  <c r="Q34" i="2" s="1"/>
  <c r="P19" i="2"/>
  <c r="O5" i="2"/>
  <c r="P5" i="2"/>
  <c r="Q5" i="2"/>
  <c r="R5" i="2"/>
  <c r="S5" i="2"/>
  <c r="T5" i="2"/>
  <c r="U5" i="2"/>
  <c r="V5" i="2"/>
  <c r="W5" i="2"/>
  <c r="X5" i="2"/>
  <c r="Y5" i="2"/>
  <c r="Z5" i="2"/>
  <c r="O10" i="2" l="1"/>
  <c r="O39" i="2" s="1"/>
  <c r="U10" i="2"/>
  <c r="U39" i="2" s="1"/>
  <c r="X37" i="2"/>
  <c r="B11" i="1"/>
  <c r="X10" i="2"/>
  <c r="X39" i="2" s="1"/>
  <c r="P10" i="2"/>
  <c r="P39" i="2" s="1"/>
  <c r="W10" i="2"/>
  <c r="W39" i="2" s="1"/>
  <c r="Z10" i="2"/>
  <c r="Z39" i="2" s="1"/>
  <c r="R10" i="2"/>
  <c r="R39" i="2" s="1"/>
  <c r="V10" i="2"/>
  <c r="V39" i="2" s="1"/>
  <c r="Y10" i="2"/>
  <c r="Y39" i="2" s="1"/>
  <c r="Q10" i="2"/>
  <c r="Q39" i="2" s="1"/>
  <c r="S10" i="2"/>
  <c r="S39" i="2" s="1"/>
  <c r="P9" i="2"/>
  <c r="P38" i="2" s="1"/>
  <c r="U11" i="2"/>
  <c r="U40" i="2" s="1"/>
  <c r="U41" i="2" s="1"/>
  <c r="U44" i="2" s="1"/>
  <c r="O9" i="2"/>
  <c r="V11" i="2"/>
  <c r="V40" i="2" s="1"/>
  <c r="U9" i="2"/>
  <c r="U38" i="2" s="1"/>
  <c r="W11" i="2"/>
  <c r="W40" i="2" s="1"/>
  <c r="Q9" i="2"/>
  <c r="Q38" i="2" s="1"/>
  <c r="R9" i="2"/>
  <c r="R38" i="2" s="1"/>
  <c r="Q11" i="2"/>
  <c r="Q40" i="2" s="1"/>
  <c r="Q41" i="2" s="1"/>
  <c r="Q44" i="2" s="1"/>
  <c r="S9" i="2"/>
  <c r="S38" i="2" s="1"/>
  <c r="X11" i="2"/>
  <c r="X40" i="2" s="1"/>
  <c r="W9" i="2"/>
  <c r="W38" i="2" s="1"/>
  <c r="V9" i="2"/>
  <c r="V38" i="2" s="1"/>
  <c r="S11" i="2"/>
  <c r="S40" i="2" s="1"/>
  <c r="S41" i="2" s="1"/>
  <c r="S44" i="2" s="1"/>
  <c r="P11" i="2"/>
  <c r="P40" i="2" s="1"/>
  <c r="T11" i="2"/>
  <c r="T40" i="2" s="1"/>
  <c r="T41" i="2" s="1"/>
  <c r="T44" i="2" s="1"/>
  <c r="O11" i="2"/>
  <c r="O40" i="2" s="1"/>
  <c r="R11" i="2"/>
  <c r="R40" i="2" s="1"/>
  <c r="Z9" i="2"/>
  <c r="Z38" i="2" s="1"/>
  <c r="Y11" i="2"/>
  <c r="Y40" i="2" s="1"/>
  <c r="Y9" i="2"/>
  <c r="Y38" i="2" s="1"/>
  <c r="T10" i="2"/>
  <c r="T39" i="2" s="1"/>
  <c r="T9" i="2"/>
  <c r="T38" i="2" s="1"/>
  <c r="Z11" i="2"/>
  <c r="Z40" i="2" s="1"/>
  <c r="G7" i="2"/>
  <c r="J7" i="2" s="1"/>
  <c r="J6" i="2"/>
  <c r="X34" i="2"/>
  <c r="W34" i="2"/>
  <c r="V34" i="2"/>
  <c r="U34" i="2"/>
  <c r="T34" i="2"/>
  <c r="P34" i="2"/>
  <c r="S34" i="2"/>
  <c r="Z34" i="2"/>
  <c r="R34" i="2"/>
  <c r="Y34" i="2"/>
  <c r="U25" i="2" l="1"/>
  <c r="O25" i="2"/>
  <c r="O8" i="2"/>
  <c r="O38" i="2"/>
  <c r="R41" i="2"/>
  <c r="R44" i="2" s="1"/>
  <c r="S45" i="2"/>
  <c r="S37" i="2"/>
  <c r="R37" i="2"/>
  <c r="R45" i="2"/>
  <c r="Z37" i="2"/>
  <c r="Z45" i="2"/>
  <c r="Z41" i="2"/>
  <c r="Z44" i="2" s="1"/>
  <c r="T45" i="2"/>
  <c r="T37" i="2"/>
  <c r="P41" i="2"/>
  <c r="P44" i="2" s="1"/>
  <c r="Q45" i="2"/>
  <c r="Q37" i="2"/>
  <c r="X41" i="2"/>
  <c r="X44" i="2" s="1"/>
  <c r="P45" i="2"/>
  <c r="P37" i="2"/>
  <c r="W41" i="2"/>
  <c r="W44" i="2" s="1"/>
  <c r="O41" i="2"/>
  <c r="Y37" i="2"/>
  <c r="Y45" i="2"/>
  <c r="V37" i="2"/>
  <c r="V45" i="2"/>
  <c r="U45" i="2"/>
  <c r="U37" i="2"/>
  <c r="Y41" i="2"/>
  <c r="Y44" i="2" s="1"/>
  <c r="W45" i="2"/>
  <c r="W37" i="2"/>
  <c r="V41" i="2"/>
  <c r="V44" i="2" s="1"/>
  <c r="X45" i="2"/>
  <c r="J12" i="2"/>
  <c r="D18" i="1" s="1"/>
  <c r="R25" i="2"/>
  <c r="T12" i="2"/>
  <c r="X24" i="2"/>
  <c r="Z25" i="2"/>
  <c r="P8" i="2"/>
  <c r="R12" i="2"/>
  <c r="W25" i="2"/>
  <c r="U8" i="2"/>
  <c r="U15" i="2" s="1"/>
  <c r="R8" i="2"/>
  <c r="R15" i="2" s="1"/>
  <c r="Z12" i="2"/>
  <c r="S8" i="2"/>
  <c r="S15" i="2" s="1"/>
  <c r="V8" i="2"/>
  <c r="V15" i="2" s="1"/>
  <c r="Q25" i="2"/>
  <c r="T25" i="2"/>
  <c r="W8" i="2"/>
  <c r="W15" i="2" s="1"/>
  <c r="Y25" i="2"/>
  <c r="V12" i="2"/>
  <c r="W26" i="2"/>
  <c r="O24" i="2"/>
  <c r="O23" i="2" s="1"/>
  <c r="Z8" i="2"/>
  <c r="Z15" i="2" s="1"/>
  <c r="S12" i="2"/>
  <c r="Q8" i="2"/>
  <c r="Q15" i="2" s="1"/>
  <c r="S25" i="2"/>
  <c r="P12" i="2"/>
  <c r="P25" i="2"/>
  <c r="X25" i="2"/>
  <c r="U12" i="2"/>
  <c r="Y12" i="2"/>
  <c r="Q12" i="2"/>
  <c r="V25" i="2"/>
  <c r="O43" i="2" l="1" a="1"/>
  <c r="O43" i="2" s="1"/>
  <c r="O37" i="2"/>
  <c r="O46" i="2" s="1" a="1"/>
  <c r="O46" i="2" s="1"/>
  <c r="O45" i="2"/>
  <c r="O44" i="2"/>
  <c r="D23" i="1"/>
  <c r="D20" i="1"/>
  <c r="E20" i="1" s="1"/>
  <c r="D25" i="1"/>
  <c r="D19" i="1"/>
  <c r="E19" i="1" s="1"/>
  <c r="D24" i="1"/>
  <c r="D33" i="4"/>
  <c r="D32" i="4"/>
  <c r="D34" i="4"/>
  <c r="D35" i="4"/>
  <c r="P15" i="2"/>
  <c r="O26" i="2"/>
  <c r="O27" i="2" s="1"/>
  <c r="O30" i="2" s="1"/>
  <c r="O16" i="2"/>
  <c r="O12" i="2"/>
  <c r="T26" i="2"/>
  <c r="T27" i="2" s="1"/>
  <c r="T30" i="2" s="1"/>
  <c r="Z26" i="2"/>
  <c r="Z27" i="2" s="1"/>
  <c r="Z30" i="2" s="1"/>
  <c r="X16" i="2"/>
  <c r="P24" i="2"/>
  <c r="P23" i="2" s="1"/>
  <c r="X8" i="2"/>
  <c r="X15" i="2" s="1"/>
  <c r="U24" i="2"/>
  <c r="U23" i="2" s="1"/>
  <c r="R26" i="2"/>
  <c r="R27" i="2" s="1"/>
  <c r="R30" i="2" s="1"/>
  <c r="T16" i="2"/>
  <c r="W12" i="2"/>
  <c r="Y16" i="2"/>
  <c r="Q24" i="2"/>
  <c r="W24" i="2"/>
  <c r="W23" i="2" s="1"/>
  <c r="S26" i="2"/>
  <c r="S27" i="2" s="1"/>
  <c r="S30" i="2" s="1"/>
  <c r="V24" i="2"/>
  <c r="V23" i="2" s="1"/>
  <c r="R16" i="2"/>
  <c r="S24" i="2"/>
  <c r="S23" i="2" s="1"/>
  <c r="R24" i="2"/>
  <c r="S16" i="2"/>
  <c r="U16" i="2"/>
  <c r="Y8" i="2"/>
  <c r="Y15" i="2" s="1"/>
  <c r="T24" i="2"/>
  <c r="Q26" i="2"/>
  <c r="Q27" i="2" s="1"/>
  <c r="Q30" i="2" s="1"/>
  <c r="T8" i="2"/>
  <c r="T15" i="2" s="1"/>
  <c r="Q16" i="2"/>
  <c r="U26" i="2"/>
  <c r="U27" i="2" s="1"/>
  <c r="U30" i="2" s="1"/>
  <c r="Y26" i="2"/>
  <c r="Y27" i="2" s="1"/>
  <c r="Y30" i="2" s="1"/>
  <c r="W16" i="2"/>
  <c r="Y24" i="2"/>
  <c r="Y23" i="2" s="1"/>
  <c r="Z16" i="2"/>
  <c r="V16" i="2"/>
  <c r="X12" i="2"/>
  <c r="P16" i="2"/>
  <c r="V26" i="2"/>
  <c r="P26" i="2"/>
  <c r="Z24" i="2"/>
  <c r="X26" i="2"/>
  <c r="X27" i="2" s="1"/>
  <c r="X30" i="2" s="1"/>
  <c r="X23" i="2"/>
  <c r="W27" i="2"/>
  <c r="W30" i="2" s="1"/>
  <c r="E33" i="4" l="1"/>
  <c r="F33" i="4"/>
  <c r="E35" i="4"/>
  <c r="F35" i="4"/>
  <c r="E34" i="4"/>
  <c r="F34" i="4"/>
  <c r="E32" i="4"/>
  <c r="F32" i="4"/>
  <c r="O14" i="2" a="1"/>
  <c r="O14" i="2" s="1"/>
  <c r="O31" i="2"/>
  <c r="P31" i="2"/>
  <c r="O15" i="2"/>
  <c r="O17" i="2" a="1"/>
  <c r="O17" i="2" s="1"/>
  <c r="Z31" i="2"/>
  <c r="R31" i="2"/>
  <c r="T31" i="2"/>
  <c r="T23" i="2"/>
  <c r="W31" i="2"/>
  <c r="S31" i="2"/>
  <c r="Q31" i="2"/>
  <c r="Q23" i="2"/>
  <c r="Z23" i="2"/>
  <c r="R23" i="2"/>
  <c r="V31" i="2"/>
  <c r="Y31" i="2"/>
  <c r="P27" i="2"/>
  <c r="P30" i="2" s="1"/>
  <c r="V27" i="2"/>
  <c r="V30" i="2" s="1"/>
  <c r="U31" i="2"/>
  <c r="X31" i="2"/>
  <c r="O32" i="2" l="1" a="1"/>
  <c r="O32" i="2" s="1"/>
  <c r="O29" i="2" a="1"/>
  <c r="O2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<sst xmlns="http://schemas.openxmlformats.org/spreadsheetml/2006/main" count="233" uniqueCount="152">
  <si>
    <t>Intercept</t>
  </si>
  <si>
    <t>Temperature (oC)</t>
  </si>
  <si>
    <t>January</t>
  </si>
  <si>
    <t>February</t>
  </si>
  <si>
    <t>March</t>
  </si>
  <si>
    <t>April</t>
  </si>
  <si>
    <t>May</t>
  </si>
  <si>
    <t>June</t>
  </si>
  <si>
    <t>July</t>
  </si>
  <si>
    <t>August</t>
  </si>
  <si>
    <t>September</t>
  </si>
  <si>
    <t>October</t>
  </si>
  <si>
    <t>November</t>
  </si>
  <si>
    <t>December</t>
  </si>
  <si>
    <t>Max</t>
  </si>
  <si>
    <t>Min</t>
  </si>
  <si>
    <t>Max temperature</t>
  </si>
  <si>
    <t>Min temperature</t>
  </si>
  <si>
    <t>Power (kW)</t>
  </si>
  <si>
    <t>Speed^2</t>
  </si>
  <si>
    <t>Speed (mph)</t>
  </si>
  <si>
    <t>Temperature^2</t>
  </si>
  <si>
    <t>Distance (miles)</t>
  </si>
  <si>
    <t>Round time (hours)</t>
  </si>
  <si>
    <t>Minimum</t>
  </si>
  <si>
    <t>Maximum</t>
  </si>
  <si>
    <t>Result</t>
  </si>
  <si>
    <t>Uncertainty</t>
  </si>
  <si>
    <t>Energy (kWh)</t>
  </si>
  <si>
    <t>Min Uncertainty</t>
  </si>
  <si>
    <t>Max Uncertainty</t>
  </si>
  <si>
    <t>Model Uncertainty</t>
  </si>
  <si>
    <t>Temperature Uncertainty</t>
  </si>
  <si>
    <t>Base level</t>
  </si>
  <si>
    <t>Model Uncertainty upper</t>
  </si>
  <si>
    <t>Coefficients</t>
  </si>
  <si>
    <t>State values</t>
  </si>
  <si>
    <t>Mean Temperature</t>
  </si>
  <si>
    <t>Predicted Energy Use</t>
  </si>
  <si>
    <t>Fields</t>
  </si>
  <si>
    <t>Explanation</t>
  </si>
  <si>
    <t>Typical value</t>
  </si>
  <si>
    <t>The ambient temperature during the round.</t>
  </si>
  <si>
    <t>objective</t>
  </si>
  <si>
    <t>Fill in the parameters for the round</t>
  </si>
  <si>
    <t>Interpret results</t>
  </si>
  <si>
    <t>The estimated amount of energy required to complete the given round in kilowatt-hours (kWh)</t>
  </si>
  <si>
    <t>Inputs</t>
  </si>
  <si>
    <t>Estimated range (miles)</t>
  </si>
  <si>
    <t>Charging efficiency</t>
  </si>
  <si>
    <t>Electricity cost (£/kWh)</t>
  </si>
  <si>
    <t>Overnight down time (hours)</t>
  </si>
  <si>
    <t>Minimum charging power (kW)</t>
  </si>
  <si>
    <t>Round distance</t>
  </si>
  <si>
    <t>Charging cost (£/round)</t>
  </si>
  <si>
    <r>
      <t>Temperature (</t>
    </r>
    <r>
      <rPr>
        <b/>
        <vertAlign val="superscript"/>
        <sz val="11"/>
        <color theme="1"/>
        <rFont val="Calibri"/>
        <family val="2"/>
        <scheme val="minor"/>
      </rPr>
      <t>o</t>
    </r>
    <r>
      <rPr>
        <b/>
        <sz val="11"/>
        <color theme="1"/>
        <rFont val="Calibri"/>
        <family val="2"/>
        <scheme val="minor"/>
      </rPr>
      <t>C)</t>
    </r>
  </si>
  <si>
    <t>Battery capacity</t>
  </si>
  <si>
    <t>Key</t>
  </si>
  <si>
    <t>Outputs</t>
  </si>
  <si>
    <t>In</t>
  </si>
  <si>
    <t>Out</t>
  </si>
  <si>
    <t>Mean</t>
  </si>
  <si>
    <t>Variance</t>
  </si>
  <si>
    <t>90% Prediction Interval</t>
  </si>
  <si>
    <t>Scaled 90% Prediction Interval</t>
  </si>
  <si>
    <t>Typical value min and max</t>
  </si>
  <si>
    <t>Model parameters</t>
  </si>
  <si>
    <t>Graph calculations</t>
  </si>
  <si>
    <t>Value</t>
  </si>
  <si>
    <t>Ratio of Sweeping to Total Use Time</t>
  </si>
  <si>
    <t>Sweep Ratio</t>
  </si>
  <si>
    <t>MaxPowa V65e Max Battery</t>
  </si>
  <si>
    <t>Predicted Range</t>
  </si>
  <si>
    <t>Fan Speed</t>
  </si>
  <si>
    <t>Fan Speed (rpm)</t>
  </si>
  <si>
    <t>Sensitivity calculations</t>
  </si>
  <si>
    <t>Input Round</t>
  </si>
  <si>
    <t>State variant - min</t>
  </si>
  <si>
    <t>kW Min</t>
  </si>
  <si>
    <t>kWh min</t>
  </si>
  <si>
    <t>Round variant - max</t>
  </si>
  <si>
    <t>State variant - max</t>
  </si>
  <si>
    <t>kW max</t>
  </si>
  <si>
    <t>kWh max</t>
  </si>
  <si>
    <t>Baseline</t>
  </si>
  <si>
    <t>Baseline state</t>
  </si>
  <si>
    <t>Scaled State variant - min</t>
  </si>
  <si>
    <t>Baseline scaled</t>
  </si>
  <si>
    <t>Offset_to_b</t>
  </si>
  <si>
    <t>Low</t>
  </si>
  <si>
    <t>High</t>
  </si>
  <si>
    <t>Offset_to_high</t>
  </si>
  <si>
    <t>Average Fan Speed (rpm)</t>
  </si>
  <si>
    <t>The time spent out on a sweeping round.</t>
  </si>
  <si>
    <r>
      <t xml:space="preserve">The calculator has a number of blue cells which the user can enter values into. These values should represent the round for which the user wishes to estimate the energy a Bucher MaxPowa V65e will require. The fields are shown in the table below with an explanation of their meaning and how to find them. If the user is not able to find a suitable value for some fields, a selection can be made from a range of typical values in the provided dropdown lists to the left of the blue cells. 
If the user enters a value that is outside the range of the data used to build the energy model, the calculator will display the warning: </t>
    </r>
    <r>
      <rPr>
        <sz val="11"/>
        <color rgb="FFFF0000"/>
        <rFont val="Calibri"/>
        <family val="2"/>
        <scheme val="minor"/>
      </rPr>
      <t>One or more inputs outside of model training values</t>
    </r>
    <r>
      <rPr>
        <sz val="11"/>
        <color theme="1"/>
        <rFont val="Calibri"/>
        <family val="2"/>
        <scheme val="minor"/>
      </rPr>
      <t>. This means that the model results are potentially unreliable as they are based on extrapolated trends.</t>
    </r>
  </si>
  <si>
    <t>Model Inputs</t>
  </si>
  <si>
    <t>Daily Round Data</t>
  </si>
  <si>
    <t>Custom Input</t>
  </si>
  <si>
    <t>Charging Requirements Data</t>
  </si>
  <si>
    <t>Results</t>
  </si>
  <si>
    <t>Daily Round Energy and Range</t>
  </si>
  <si>
    <t>Charging Requirements</t>
  </si>
  <si>
    <t>Column1</t>
  </si>
  <si>
    <t>Custom</t>
  </si>
  <si>
    <t>Fan speed</t>
  </si>
  <si>
    <t>Mostly Low</t>
  </si>
  <si>
    <t>Mixed or Medium Speed</t>
  </si>
  <si>
    <t>Mostly High Speed</t>
  </si>
  <si>
    <t>Temp</t>
  </si>
  <si>
    <t>Avg Temp</t>
  </si>
  <si>
    <t>UK Yearly Avg</t>
  </si>
  <si>
    <t>UK Winter Avg</t>
  </si>
  <si>
    <t>UK Summer Avg</t>
  </si>
  <si>
    <t>Sweeping Intensive (eg. Urban Route)</t>
  </si>
  <si>
    <t>Travel Intensive (eg. Rural Route)</t>
  </si>
  <si>
    <t>Ratio</t>
  </si>
  <si>
    <t>Charging time at 44 kW (hours)</t>
  </si>
  <si>
    <t>sweep_ratio</t>
  </si>
  <si>
    <t>kwh_used</t>
  </si>
  <si>
    <t>drive_hrs</t>
  </si>
  <si>
    <t>collect_hrs</t>
  </si>
  <si>
    <t>stem_hrs</t>
  </si>
  <si>
    <t>distance</t>
  </si>
  <si>
    <t>collect_dist</t>
  </si>
  <si>
    <t>stem_dist</t>
  </si>
  <si>
    <t>ave_temp_c</t>
  </si>
  <si>
    <t>sw_fan_rpm</t>
  </si>
  <si>
    <t>sw_hyd_rpm</t>
  </si>
  <si>
    <t>sw_pump_rpm</t>
  </si>
  <si>
    <t>all locations</t>
  </si>
  <si>
    <t>wales only</t>
  </si>
  <si>
    <t>sweep_v</t>
  </si>
  <si>
    <t>stem_v</t>
  </si>
  <si>
    <t>Sweep Ratio^2</t>
  </si>
  <si>
    <t>Estimated max. hours on full battery (hours)</t>
  </si>
  <si>
    <t>Expected Operating Hours</t>
  </si>
  <si>
    <t>Predicted Max Hours</t>
  </si>
  <si>
    <t>The ratio of time spent with sweepers actively on versus the total round time.</t>
  </si>
  <si>
    <t>The total distance covered on the round.</t>
  </si>
  <si>
    <t>Average fan speed settings.</t>
  </si>
  <si>
    <t>Below the calculator an energy value is returned in kilowatt-hours (kWh). This is the value for a specific round on a specific day with known temperature. Next to this value is the model prediction uncertainty. In testing, 95% of the model predictions were within this distance of the true result. 
Users may find it more useful to look at the graphs on the right which uses the average temperature for Wales over the year to show the variation in energy required and estimated operating hours on one charge. Colder months tend to require more energy than warmer months and so the vehicle operating hours decrease. This graph uses the input round characteristics only, and does not take seasonal sweeping intensity or load collection trends into consideration. Around the central line are two shaded areas - the first represents the typical range in temperature for each month, the second adds the prediction uncertainty to the maximum and minimum temperatures.</t>
  </si>
  <si>
    <t>About this model</t>
  </si>
  <si>
    <t>Ultra-Low Emission Waste and Recycling Vehicles - Cenex</t>
  </si>
  <si>
    <t>Please read the 'How to Use' sheet for instructions on using this model.</t>
  </si>
  <si>
    <t>We recommend inputting your own custom values if known. Otherwise, please select one of the options in the dropdowns below.</t>
  </si>
  <si>
    <t>Additional Information</t>
  </si>
  <si>
    <r>
      <t xml:space="preserve">This model allows users to explore the estimated energy use and possible operating hours of a daily round for an electric sweeper (eSweeper), based on real-world data from operation of a specific eSweeper vehicle: the 16t Bucher MaxPowa V65e. The statistical model was built by measuring the use of one existing MaxPowa eSweeper deployed in Wales, plus an additional 6 MaxPowa vehicles deployed across Europe over a period of at least 8 months per vehicle. The model will estimate the daily energy used by an MaxPowa eSweeper based on characteristics of that vehicle's daily round, using the relationships learnt from the real-world observations. </t>
    </r>
    <r>
      <rPr>
        <b/>
        <sz val="11"/>
        <color theme="1"/>
        <rFont val="Calibri"/>
        <family val="2"/>
        <scheme val="minor"/>
      </rPr>
      <t xml:space="preserve">Please note that this first iteration of the sweeper model is trained on a limited set of data as the number of deployed vehicles in Wales is currently too low. It is expected that this model has limited accuracy at this stage, and will require updating as more data is collected. </t>
    </r>
    <r>
      <rPr>
        <sz val="11"/>
        <color theme="1"/>
        <rFont val="Calibri"/>
        <family val="2"/>
        <scheme val="minor"/>
      </rPr>
      <t xml:space="preserve">
For more details and a summary of the Bucher MaxPowa performance window, please see the "Vehicle Performance Insights: Bucher MaxPowa V65e eSweeper" document available on the project website:</t>
    </r>
  </si>
  <si>
    <t>% of Sweeping to Total Use Time</t>
  </si>
  <si>
    <t>Please note that this first iteration of the sweeper model is trained on a limited set of data as the number of deployed vehicles in Wales is currently low. It is expected that this model has limited accuracy at this stage and will be updated as more data is collected.</t>
  </si>
  <si>
    <t>Average (observed in Wales)</t>
  </si>
  <si>
    <t>*Please note these graphs use an average monthly temperature for Wales, and will not be affected by input temperature in the round characteristics.</t>
  </si>
  <si>
    <t>Results over a Typical Yearly Temperature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</si>
</sst>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
    <numFmt numFmtId="166" formatCode="&quot;£&quot;#,##0.00"/>
    <numFmt numFmtId="167" formatCode="0.00000"/>
    <numFmt numFmtId="168" formatCode="#,##0.000"/>
    <numFmt numFmtId="169" formatCode="#,##0.00000"/>
    <numFmt numFmtId="170" formatCode="0.0"/>
    <numFmt numFmtId="171" formatCode="0.000000000"/>
  </numFmts>
  <fonts count="17" x14ac:knownFonts="1">
    <font>
      <sz val="11"/>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vertAlign val="superscrip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1"/>
      <color rgb="FF3F3F76"/>
      <name val="Calibri"/>
      <family val="2"/>
      <scheme val="minor"/>
    </font>
    <font>
      <sz val="11"/>
      <color theme="0"/>
      <name val="Calibri"/>
      <family val="2"/>
      <scheme val="minor"/>
    </font>
    <font>
      <b/>
      <sz val="15"/>
      <name val="Calibri"/>
      <family val="2"/>
      <scheme val="minor"/>
    </font>
    <font>
      <b/>
      <sz val="18"/>
      <color theme="1"/>
      <name val="Calibri"/>
      <family val="2"/>
      <scheme val="minor"/>
    </font>
    <font>
      <sz val="10"/>
      <name val="Calibri"/>
      <family val="2"/>
      <scheme val="minor"/>
    </font>
    <font>
      <u/>
      <sz val="11"/>
      <color theme="10"/>
      <name val="Calibri"/>
      <family val="2"/>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patternFill>
    </fill>
    <fill>
      <patternFill patternType="solid">
        <fgColor rgb="FF92D050"/>
        <bgColor indexed="64"/>
      </patternFill>
    </fill>
    <fill>
      <patternFill patternType="solid">
        <fgColor rgb="FFF5F5F5"/>
        <bgColor indexed="64"/>
      </patternFill>
    </fill>
    <fill>
      <patternFill patternType="solid">
        <fgColor rgb="FFBFBFBF"/>
        <bgColor indexed="64"/>
      </patternFill>
    </fill>
    <fill>
      <patternFill patternType="solid">
        <fgColor rgb="FFCCFFFF"/>
        <bgColor indexed="64"/>
      </patternFill>
    </fill>
    <fill>
      <patternFill patternType="solid">
        <fgColor rgb="FFFFFF99"/>
        <bgColor indexed="64"/>
      </patternFill>
    </fill>
    <fill>
      <patternFill patternType="solid">
        <fgColor rgb="FF9CE8EC"/>
        <bgColor indexed="64"/>
      </patternFill>
    </fill>
    <fill>
      <patternFill patternType="solid">
        <fgColor rgb="FFFBF05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3F3F3F"/>
      </left>
      <right style="medium">
        <color rgb="FF3F3F3F"/>
      </right>
      <top style="medium">
        <color rgb="FF3F3F3F"/>
      </top>
      <bottom style="medium">
        <color rgb="FF3F3F3F"/>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theme="1"/>
      </right>
      <top style="medium">
        <color indexed="64"/>
      </top>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theme="1"/>
      </right>
      <top style="thin">
        <color theme="1"/>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theme="1"/>
      </left>
      <right style="medium">
        <color indexed="64"/>
      </right>
      <top style="medium">
        <color indexed="64"/>
      </top>
      <bottom style="medium">
        <color theme="1"/>
      </bottom>
      <diagonal/>
    </border>
    <border>
      <left style="medium">
        <color indexed="64"/>
      </left>
      <right style="thin">
        <color indexed="64"/>
      </right>
      <top/>
      <bottom style="medium">
        <color indexed="64"/>
      </bottom>
      <diagonal/>
    </border>
    <border>
      <left style="medium">
        <color rgb="FF3F3F3F"/>
      </left>
      <right style="medium">
        <color indexed="64"/>
      </right>
      <top style="medium">
        <color rgb="FF3F3F3F"/>
      </top>
      <bottom style="medium">
        <color indexed="64"/>
      </bottom>
      <diagonal/>
    </border>
  </borders>
  <cellStyleXfs count="13">
    <xf numFmtId="0" fontId="0" fillId="0" borderId="0"/>
    <xf numFmtId="0" fontId="8" fillId="8" borderId="9" applyNumberFormat="0" applyAlignment="0" applyProtection="0"/>
    <xf numFmtId="0" fontId="8" fillId="9" borderId="10" applyNumberFormat="0" applyAlignment="0" applyProtection="0"/>
    <xf numFmtId="0" fontId="8" fillId="6" borderId="8" applyNumberFormat="0" applyAlignment="0" applyProtection="0"/>
    <xf numFmtId="9" fontId="2" fillId="0" borderId="0" applyFont="0" applyFill="0" applyBorder="0" applyAlignment="0" applyProtection="0"/>
    <xf numFmtId="0" fontId="12" fillId="7" borderId="8" applyNumberFormat="0" applyAlignment="0" applyProtection="0"/>
    <xf numFmtId="0" fontId="2" fillId="5" borderId="8"/>
    <xf numFmtId="0" fontId="8" fillId="6" borderId="8" applyAlignment="0" applyProtection="0"/>
    <xf numFmtId="0" fontId="11" fillId="4" borderId="0" applyBorder="0" applyAlignment="0" applyProtection="0"/>
    <xf numFmtId="0" fontId="8" fillId="8" borderId="9" applyAlignment="0" applyProtection="0"/>
    <xf numFmtId="0" fontId="8" fillId="9" borderId="10" applyAlignment="0" applyProtection="0"/>
    <xf numFmtId="0" fontId="9" fillId="7" borderId="8" applyAlignment="0" applyProtection="0"/>
    <xf numFmtId="0" fontId="15" fillId="0" borderId="0" applyNumberFormat="0" applyFill="0" applyBorder="0" applyAlignment="0" applyProtection="0"/>
  </cellStyleXfs>
  <cellXfs count="136">
    <xf numFmtId="0" fontId="0" fillId="0" borderId="0" xfId="0"/>
    <xf numFmtId="0" fontId="8" fillId="6" borderId="8" xfId="3"/>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1" xfId="0" applyFont="1" applyBorder="1" applyAlignment="1">
      <alignment horizontal="left"/>
    </xf>
    <xf numFmtId="0" fontId="0" fillId="0" borderId="4" xfId="0" applyBorder="1"/>
    <xf numFmtId="0" fontId="0" fillId="0" borderId="4" xfId="0" applyBorder="1" applyAlignment="1">
      <alignment horizontal="center"/>
    </xf>
    <xf numFmtId="0" fontId="5" fillId="0" borderId="0" xfId="0" applyFont="1"/>
    <xf numFmtId="164" fontId="8" fillId="8" borderId="9" xfId="1" applyNumberFormat="1"/>
    <xf numFmtId="4" fontId="8" fillId="8" borderId="9" xfId="1" applyNumberFormat="1" applyAlignment="1">
      <alignment horizontal="right"/>
    </xf>
    <xf numFmtId="0" fontId="8" fillId="8" borderId="9" xfId="1"/>
    <xf numFmtId="3" fontId="8" fillId="6" borderId="8" xfId="3" applyNumberFormat="1"/>
    <xf numFmtId="9" fontId="8" fillId="8" borderId="9" xfId="1" applyNumberFormat="1" applyAlignment="1">
      <alignment horizontal="right"/>
    </xf>
    <xf numFmtId="167" fontId="0" fillId="0" borderId="0" xfId="0" applyNumberFormat="1"/>
    <xf numFmtId="9" fontId="0" fillId="0" borderId="0" xfId="4" applyFont="1"/>
    <xf numFmtId="10" fontId="0" fillId="0" borderId="0" xfId="4" applyNumberFormat="1" applyFont="1"/>
    <xf numFmtId="2" fontId="0" fillId="0" borderId="0" xfId="0" applyNumberFormat="1"/>
    <xf numFmtId="4" fontId="8" fillId="8" borderId="9" xfId="1" applyNumberFormat="1"/>
    <xf numFmtId="167" fontId="8" fillId="6" borderId="8" xfId="3" applyNumberFormat="1"/>
    <xf numFmtId="2" fontId="8" fillId="8" borderId="9" xfId="1" applyNumberFormat="1"/>
    <xf numFmtId="0" fontId="7" fillId="0" borderId="0" xfId="0" applyFont="1"/>
    <xf numFmtId="4" fontId="8" fillId="0" borderId="9" xfId="1" applyNumberFormat="1" applyFill="1" applyAlignment="1">
      <alignment horizontal="right"/>
    </xf>
    <xf numFmtId="0" fontId="8" fillId="0" borderId="0" xfId="0" applyFont="1"/>
    <xf numFmtId="0" fontId="8" fillId="0" borderId="0" xfId="1" applyFill="1" applyBorder="1"/>
    <xf numFmtId="3" fontId="9" fillId="0" borderId="0" xfId="3" applyNumberFormat="1" applyFont="1" applyFill="1" applyBorder="1"/>
    <xf numFmtId="0" fontId="9" fillId="0" borderId="0" xfId="3" applyFont="1" applyFill="1" applyBorder="1"/>
    <xf numFmtId="0" fontId="9" fillId="0" borderId="0" xfId="1" applyFont="1" applyFill="1" applyBorder="1"/>
    <xf numFmtId="4" fontId="8" fillId="3" borderId="9" xfId="1" applyNumberFormat="1" applyFill="1" applyAlignment="1">
      <alignment horizontal="right"/>
    </xf>
    <xf numFmtId="0" fontId="8" fillId="3" borderId="0" xfId="1" applyFill="1" applyBorder="1"/>
    <xf numFmtId="4" fontId="8" fillId="0" borderId="0" xfId="1" applyNumberFormat="1" applyFill="1" applyBorder="1"/>
    <xf numFmtId="4" fontId="0" fillId="0" borderId="0" xfId="0" applyNumberFormat="1"/>
    <xf numFmtId="164" fontId="8" fillId="0" borderId="0" xfId="3" applyNumberFormat="1" applyFill="1" applyBorder="1"/>
    <xf numFmtId="164" fontId="8" fillId="0" borderId="0" xfId="0" applyNumberFormat="1" applyFont="1"/>
    <xf numFmtId="0" fontId="9" fillId="0" borderId="0" xfId="3" applyNumberFormat="1" applyFont="1" applyFill="1" applyBorder="1"/>
    <xf numFmtId="164" fontId="8" fillId="0" borderId="0" xfId="1" applyNumberFormat="1" applyFill="1" applyBorder="1"/>
    <xf numFmtId="164" fontId="10" fillId="0" borderId="0" xfId="1" applyNumberFormat="1" applyFont="1" applyFill="1" applyBorder="1"/>
    <xf numFmtId="168" fontId="9" fillId="0" borderId="0" xfId="3" applyNumberFormat="1" applyFont="1" applyFill="1" applyBorder="1"/>
    <xf numFmtId="169" fontId="8" fillId="9" borderId="10" xfId="2" applyNumberFormat="1"/>
    <xf numFmtId="0" fontId="8" fillId="8" borderId="9" xfId="9" applyAlignment="1">
      <alignment horizontal="center"/>
    </xf>
    <xf numFmtId="0" fontId="8" fillId="9" borderId="10" xfId="10" applyAlignment="1">
      <alignment horizontal="center"/>
    </xf>
    <xf numFmtId="0" fontId="4" fillId="0" borderId="2" xfId="0" applyFont="1" applyBorder="1" applyAlignment="1">
      <alignment horizontal="center"/>
    </xf>
    <xf numFmtId="0" fontId="13" fillId="0" borderId="0" xfId="0" applyFont="1"/>
    <xf numFmtId="0" fontId="0" fillId="11" borderId="17" xfId="0" applyFill="1" applyBorder="1" applyAlignment="1">
      <alignment horizontal="center" vertical="center"/>
    </xf>
    <xf numFmtId="3" fontId="2" fillId="9" borderId="14" xfId="2" applyNumberFormat="1" applyFont="1" applyBorder="1" applyAlignment="1">
      <alignment horizontal="center"/>
    </xf>
    <xf numFmtId="3" fontId="2" fillId="9" borderId="23" xfId="2" applyNumberFormat="1" applyFont="1" applyBorder="1" applyAlignment="1">
      <alignment horizontal="center"/>
    </xf>
    <xf numFmtId="0" fontId="0" fillId="11" borderId="26" xfId="0" applyFill="1" applyBorder="1" applyAlignment="1">
      <alignment horizontal="center" vertical="center"/>
    </xf>
    <xf numFmtId="0" fontId="0" fillId="11" borderId="27" xfId="0" applyFill="1" applyBorder="1" applyAlignment="1">
      <alignment horizontal="center" vertical="center"/>
    </xf>
    <xf numFmtId="0" fontId="0" fillId="9" borderId="28" xfId="0" applyFill="1" applyBorder="1" applyAlignment="1">
      <alignment horizontal="center"/>
    </xf>
    <xf numFmtId="0" fontId="0" fillId="9" borderId="32" xfId="0" applyFill="1" applyBorder="1" applyAlignment="1">
      <alignment horizontal="center"/>
    </xf>
    <xf numFmtId="0" fontId="0" fillId="9" borderId="23" xfId="0" applyFill="1" applyBorder="1" applyAlignment="1">
      <alignment horizontal="center"/>
    </xf>
    <xf numFmtId="0" fontId="4" fillId="0" borderId="0" xfId="0" applyFont="1" applyAlignment="1">
      <alignment horizontal="left"/>
    </xf>
    <xf numFmtId="3" fontId="2" fillId="2" borderId="0" xfId="2" applyNumberFormat="1" applyFont="1" applyFill="1" applyBorder="1"/>
    <xf numFmtId="0" fontId="8" fillId="10" borderId="35" xfId="1" applyFill="1" applyBorder="1" applyAlignment="1">
      <alignment horizontal="center" vertical="center"/>
    </xf>
    <xf numFmtId="0" fontId="8" fillId="8" borderId="14" xfId="1" applyBorder="1" applyAlignment="1" applyProtection="1">
      <alignment horizontal="center"/>
      <protection locked="0"/>
    </xf>
    <xf numFmtId="0" fontId="8" fillId="8" borderId="23" xfId="1" applyBorder="1" applyAlignment="1" applyProtection="1">
      <alignment horizontal="center"/>
      <protection locked="0"/>
    </xf>
    <xf numFmtId="170" fontId="0" fillId="0" borderId="0" xfId="0" applyNumberFormat="1"/>
    <xf numFmtId="2" fontId="0" fillId="0" borderId="41" xfId="0" applyNumberFormat="1" applyBorder="1"/>
    <xf numFmtId="2" fontId="8" fillId="6" borderId="8" xfId="3" applyNumberFormat="1"/>
    <xf numFmtId="171" fontId="8" fillId="6" borderId="8" xfId="3" applyNumberFormat="1"/>
    <xf numFmtId="1" fontId="8" fillId="6" borderId="8" xfId="3" applyNumberFormat="1"/>
    <xf numFmtId="3" fontId="2" fillId="9" borderId="32" xfId="2" applyNumberFormat="1" applyFont="1" applyBorder="1" applyAlignment="1">
      <alignment horizontal="center"/>
    </xf>
    <xf numFmtId="0" fontId="0" fillId="11" borderId="44" xfId="0" applyFill="1" applyBorder="1" applyAlignment="1">
      <alignment horizontal="center" vertical="center"/>
    </xf>
    <xf numFmtId="1" fontId="8" fillId="9" borderId="36" xfId="10" applyNumberFormat="1" applyBorder="1" applyAlignment="1">
      <alignment horizontal="center"/>
    </xf>
    <xf numFmtId="170" fontId="8" fillId="9" borderId="40" xfId="10" applyNumberFormat="1" applyBorder="1" applyAlignment="1">
      <alignment horizontal="center"/>
    </xf>
    <xf numFmtId="170" fontId="8" fillId="9" borderId="37" xfId="10" applyNumberFormat="1" applyBorder="1" applyAlignment="1">
      <alignment horizontal="center"/>
    </xf>
    <xf numFmtId="4" fontId="8" fillId="6" borderId="8" xfId="3" applyNumberFormat="1"/>
    <xf numFmtId="168" fontId="8" fillId="6" borderId="8" xfId="3" applyNumberFormat="1"/>
    <xf numFmtId="165" fontId="8" fillId="8" borderId="1" xfId="1" applyNumberFormat="1" applyBorder="1" applyAlignment="1">
      <alignment horizontal="center" vertical="center"/>
    </xf>
    <xf numFmtId="0" fontId="0" fillId="0" borderId="5" xfId="0" applyBorder="1" applyAlignment="1">
      <alignment vertical="center"/>
    </xf>
    <xf numFmtId="3" fontId="8" fillId="8" borderId="1" xfId="1" applyNumberFormat="1" applyBorder="1" applyAlignment="1">
      <alignment horizontal="center" vertical="center"/>
    </xf>
    <xf numFmtId="3" fontId="8" fillId="8" borderId="6" xfId="1" applyNumberFormat="1" applyBorder="1" applyAlignment="1">
      <alignment horizontal="center" vertical="center"/>
    </xf>
    <xf numFmtId="0" fontId="0" fillId="0" borderId="7" xfId="0" applyBorder="1" applyAlignment="1">
      <alignment vertical="center"/>
    </xf>
    <xf numFmtId="0" fontId="4" fillId="0" borderId="11" xfId="0" applyFont="1" applyBorder="1" applyAlignment="1">
      <alignment horizontal="center" wrapText="1"/>
    </xf>
    <xf numFmtId="0" fontId="4" fillId="0" borderId="12" xfId="0" applyFont="1" applyBorder="1" applyAlignment="1">
      <alignment horizontal="center" wrapText="1"/>
    </xf>
    <xf numFmtId="165" fontId="11" fillId="0" borderId="0" xfId="1" applyNumberFormat="1" applyFont="1" applyFill="1" applyBorder="1" applyAlignment="1">
      <alignment horizontal="left"/>
    </xf>
    <xf numFmtId="0" fontId="8" fillId="10" borderId="23" xfId="9" applyFill="1" applyBorder="1" applyAlignment="1">
      <alignment horizontal="center" vertical="center" wrapText="1"/>
    </xf>
    <xf numFmtId="0" fontId="4" fillId="0" borderId="29" xfId="0" applyFont="1" applyBorder="1"/>
    <xf numFmtId="0" fontId="4" fillId="0" borderId="20" xfId="0" applyFont="1" applyBorder="1"/>
    <xf numFmtId="1" fontId="8" fillId="8" borderId="31" xfId="1" applyNumberFormat="1" applyBorder="1" applyAlignment="1">
      <alignment horizontal="center"/>
    </xf>
    <xf numFmtId="170" fontId="8" fillId="8" borderId="22" xfId="1" applyNumberFormat="1" applyBorder="1" applyAlignment="1">
      <alignment horizontal="center"/>
    </xf>
    <xf numFmtId="0" fontId="4" fillId="0" borderId="44" xfId="0" applyFont="1" applyBorder="1"/>
    <xf numFmtId="0" fontId="8" fillId="8" borderId="46" xfId="9" applyBorder="1" applyAlignment="1">
      <alignment horizontal="center"/>
    </xf>
    <xf numFmtId="0" fontId="4" fillId="0" borderId="47" xfId="0" applyFont="1" applyBorder="1"/>
    <xf numFmtId="165" fontId="8" fillId="9" borderId="48" xfId="2" applyNumberFormat="1" applyBorder="1" applyAlignment="1">
      <alignment horizontal="center"/>
    </xf>
    <xf numFmtId="0" fontId="8" fillId="8" borderId="28" xfId="9" applyBorder="1" applyAlignment="1" applyProtection="1">
      <alignment horizontal="center"/>
      <protection locked="0"/>
    </xf>
    <xf numFmtId="0" fontId="8" fillId="8" borderId="32" xfId="9" applyBorder="1" applyAlignment="1" applyProtection="1">
      <alignment horizontal="center"/>
      <protection locked="0"/>
    </xf>
    <xf numFmtId="1" fontId="8" fillId="8" borderId="32" xfId="9" applyNumberFormat="1" applyBorder="1" applyAlignment="1" applyProtection="1">
      <alignment horizontal="center"/>
      <protection locked="0"/>
    </xf>
    <xf numFmtId="170" fontId="8" fillId="8" borderId="23" xfId="9" applyNumberFormat="1" applyBorder="1" applyAlignment="1" applyProtection="1">
      <alignment horizontal="center"/>
      <protection locked="0"/>
    </xf>
    <xf numFmtId="0" fontId="8" fillId="8" borderId="1" xfId="9" applyBorder="1" applyProtection="1">
      <protection locked="0"/>
    </xf>
    <xf numFmtId="0" fontId="8" fillId="8" borderId="38" xfId="9" applyBorder="1" applyProtection="1">
      <protection locked="0"/>
    </xf>
    <xf numFmtId="9" fontId="8" fillId="8" borderId="31" xfId="4" applyFont="1" applyFill="1" applyBorder="1" applyAlignment="1">
      <alignment horizontal="center"/>
    </xf>
    <xf numFmtId="9" fontId="8" fillId="8" borderId="32" xfId="4" applyFont="1" applyFill="1" applyBorder="1" applyAlignment="1" applyProtection="1">
      <alignment horizontal="center"/>
      <protection locked="0"/>
    </xf>
    <xf numFmtId="0" fontId="0" fillId="0" borderId="0" xfId="0" applyAlignment="1">
      <alignment horizontal="left" vertical="top" wrapText="1"/>
    </xf>
    <xf numFmtId="0" fontId="0" fillId="0" borderId="0" xfId="0" applyAlignment="1">
      <alignment horizontal="left" wrapText="1"/>
    </xf>
    <xf numFmtId="0" fontId="15" fillId="0" borderId="0" xfId="12" applyAlignment="1">
      <alignment horizontal="left" vertical="center" wrapText="1"/>
    </xf>
    <xf numFmtId="0" fontId="4" fillId="0" borderId="20" xfId="0" applyFont="1" applyBorder="1" applyAlignment="1">
      <alignment horizontal="left"/>
    </xf>
    <xf numFmtId="0" fontId="4" fillId="0" borderId="21" xfId="0" applyFont="1" applyBorder="1" applyAlignment="1">
      <alignment horizontal="left"/>
    </xf>
    <xf numFmtId="0" fontId="9" fillId="2" borderId="37" xfId="1" applyFont="1" applyFill="1" applyBorder="1" applyAlignment="1">
      <alignment horizontal="left"/>
    </xf>
    <xf numFmtId="0" fontId="9" fillId="2" borderId="38" xfId="1" applyFont="1" applyFill="1" applyBorder="1" applyAlignment="1">
      <alignment horizontal="left"/>
    </xf>
    <xf numFmtId="0" fontId="0" fillId="11" borderId="16" xfId="0" applyFill="1" applyBorder="1" applyAlignment="1">
      <alignment horizontal="center" vertical="center"/>
    </xf>
    <xf numFmtId="0" fontId="0" fillId="11" borderId="33" xfId="0" applyFill="1" applyBorder="1" applyAlignment="1">
      <alignment horizontal="center" vertical="center"/>
    </xf>
    <xf numFmtId="0" fontId="4" fillId="0" borderId="36" xfId="0" applyFont="1" applyBorder="1" applyAlignment="1">
      <alignment horizontal="left"/>
    </xf>
    <xf numFmtId="0" fontId="4" fillId="0" borderId="42" xfId="0" applyFont="1" applyBorder="1" applyAlignment="1">
      <alignment horizontal="left"/>
    </xf>
    <xf numFmtId="0" fontId="4" fillId="0" borderId="40" xfId="0" applyFont="1" applyBorder="1" applyAlignment="1">
      <alignment horizontal="left"/>
    </xf>
    <xf numFmtId="0" fontId="4" fillId="0" borderId="43" xfId="0" applyFont="1" applyBorder="1" applyAlignment="1">
      <alignment horizontal="left"/>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4" fillId="0" borderId="18" xfId="0" applyFont="1" applyBorder="1" applyAlignment="1">
      <alignment horizontal="left"/>
    </xf>
    <xf numFmtId="0" fontId="4" fillId="0" borderId="19" xfId="0" applyFont="1" applyBorder="1" applyAlignment="1">
      <alignment horizontal="left"/>
    </xf>
    <xf numFmtId="0" fontId="4" fillId="0" borderId="29" xfId="0" applyFont="1" applyBorder="1" applyAlignment="1">
      <alignment horizontal="left"/>
    </xf>
    <xf numFmtId="0" fontId="4" fillId="0" borderId="30" xfId="0" applyFont="1" applyBorder="1" applyAlignment="1">
      <alignment horizontal="left"/>
    </xf>
    <xf numFmtId="0" fontId="5" fillId="0" borderId="0" xfId="0" applyFont="1" applyAlignment="1">
      <alignment horizontal="center" vertical="center" wrapText="1"/>
    </xf>
    <xf numFmtId="0" fontId="8" fillId="10" borderId="16" xfId="1" applyFill="1" applyBorder="1" applyAlignment="1">
      <alignment horizontal="center" vertical="center"/>
    </xf>
    <xf numFmtId="0" fontId="8" fillId="10" borderId="33" xfId="1" applyFill="1" applyBorder="1" applyAlignment="1">
      <alignment horizontal="center" vertical="center"/>
    </xf>
    <xf numFmtId="0" fontId="8" fillId="10" borderId="34" xfId="1" applyFill="1" applyBorder="1" applyAlignment="1">
      <alignment horizontal="center" vertical="center"/>
    </xf>
    <xf numFmtId="0" fontId="16" fillId="0" borderId="24" xfId="0" applyFont="1" applyBorder="1" applyAlignment="1">
      <alignment horizontal="center"/>
    </xf>
    <xf numFmtId="0" fontId="16" fillId="0" borderId="45" xfId="0" applyFont="1" applyBorder="1" applyAlignment="1">
      <alignment horizontal="center"/>
    </xf>
    <xf numFmtId="0" fontId="16" fillId="0" borderId="25" xfId="0" applyFont="1" applyBorder="1" applyAlignment="1">
      <alignment horizontal="center"/>
    </xf>
    <xf numFmtId="0" fontId="4" fillId="0" borderId="4"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2" borderId="36" xfId="1" applyFont="1" applyFill="1" applyBorder="1" applyAlignment="1">
      <alignment horizontal="left"/>
    </xf>
    <xf numFmtId="0" fontId="9" fillId="2" borderId="13" xfId="1" applyFont="1" applyFill="1" applyBorder="1" applyAlignment="1">
      <alignment horizontal="left"/>
    </xf>
    <xf numFmtId="0" fontId="8" fillId="10" borderId="16" xfId="9" applyFill="1" applyBorder="1" applyAlignment="1">
      <alignment horizontal="center" vertical="center"/>
    </xf>
    <xf numFmtId="0" fontId="8" fillId="10" borderId="39" xfId="9" applyFill="1" applyBorder="1" applyAlignment="1">
      <alignment horizontal="center" vertical="center"/>
    </xf>
    <xf numFmtId="0" fontId="8" fillId="10" borderId="36" xfId="9" applyFill="1" applyBorder="1" applyAlignment="1">
      <alignment horizontal="center"/>
    </xf>
    <xf numFmtId="0" fontId="8" fillId="10" borderId="13" xfId="9" applyFill="1" applyBorder="1" applyAlignment="1">
      <alignment horizontal="center"/>
    </xf>
    <xf numFmtId="0" fontId="8" fillId="10" borderId="14" xfId="9" applyFill="1" applyBorder="1" applyAlignment="1">
      <alignment horizontal="center"/>
    </xf>
    <xf numFmtId="0" fontId="14" fillId="10" borderId="37" xfId="9" applyFont="1" applyFill="1" applyBorder="1" applyAlignment="1" applyProtection="1">
      <alignment horizontal="center" vertical="center" wrapText="1"/>
    </xf>
    <xf numFmtId="0" fontId="14" fillId="10" borderId="38" xfId="9" applyFont="1" applyFill="1" applyBorder="1" applyAlignment="1" applyProtection="1">
      <alignment horizontal="center" vertical="center" wrapText="1"/>
    </xf>
    <xf numFmtId="9" fontId="8" fillId="8" borderId="1" xfId="4" applyFont="1" applyFill="1" applyBorder="1" applyAlignment="1">
      <alignment horizontal="center" vertical="center"/>
    </xf>
    <xf numFmtId="166" fontId="8" fillId="9" borderId="15" xfId="10" applyNumberFormat="1" applyBorder="1" applyAlignment="1">
      <alignment horizontal="center"/>
    </xf>
    <xf numFmtId="170" fontId="8" fillId="9" borderId="31" xfId="10" applyNumberFormat="1" applyBorder="1" applyAlignment="1">
      <alignment horizontal="center"/>
    </xf>
    <xf numFmtId="170" fontId="8" fillId="9" borderId="22" xfId="10" applyNumberFormat="1" applyBorder="1" applyAlignment="1">
      <alignment horizontal="center"/>
    </xf>
  </cellXfs>
  <cellStyles count="13">
    <cellStyle name="Area populated by macros" xfId="6" xr:uid="{8FA076F5-6D59-4DB1-9B19-F620933D1E26}"/>
    <cellStyle name="Calculation" xfId="3" builtinId="22" customBuiltin="1"/>
    <cellStyle name="Calculations" xfId="7" xr:uid="{291EEC1F-0637-476D-9997-6E726CDADA9E}"/>
    <cellStyle name="Heading 1" xfId="5" builtinId="16" customBuiltin="1"/>
    <cellStyle name="Hidden Areas" xfId="8" xr:uid="{7E896509-248B-4CBC-AF52-01C6FE7CFC38}"/>
    <cellStyle name="Hyperlink" xfId="12" builtinId="8"/>
    <cellStyle name="Input" xfId="1" builtinId="20" customBuiltin="1"/>
    <cellStyle name="Inputs" xfId="9" xr:uid="{95FF6B9F-5E1C-49C8-BE4B-C3F7FCD5EB61}"/>
    <cellStyle name="Normal" xfId="0" builtinId="0"/>
    <cellStyle name="Output" xfId="2" builtinId="21" customBuiltin="1"/>
    <cellStyle name="Percent" xfId="4" builtinId="5"/>
    <cellStyle name="Results" xfId="10" xr:uid="{F54A38D7-E69C-462F-B7A1-8FD04A813BFF}"/>
    <cellStyle name="Titles" xfId="11" xr:uid="{9ACB29E7-EF5D-4F8D-B8F1-4A17002312E1}"/>
  </cellStyles>
  <dxfs count="3">
    <dxf>
      <font>
        <color theme="2" tint="-0.24994659260841701"/>
      </font>
      <fill>
        <patternFill>
          <bgColor theme="0" tint="-0.14996795556505021"/>
        </patternFill>
      </fill>
    </dxf>
    <dxf>
      <font>
        <color rgb="FFC00000"/>
      </font>
      <fill>
        <patternFill>
          <bgColor rgb="FFFFA3A3"/>
        </patternFill>
      </fill>
    </dxf>
    <dxf>
      <font>
        <color theme="2" tint="-0.24994659260841701"/>
      </font>
      <fill>
        <patternFill>
          <bgColor theme="0" tint="-0.14996795556505021"/>
        </patternFill>
      </fill>
    </dxf>
  </dxfs>
  <tableStyles count="0" defaultTableStyle="TableStyleMedium2" defaultPivotStyle="PivotStyleLight16"/>
  <colors>
    <mruColors>
      <color rgb="FFFFA3A3"/>
      <color rgb="FF005A9B"/>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a:t>
            </a:r>
            <a:r>
              <a:rPr lang="en-GB" b="1" baseline="0"/>
              <a:t>e</a:t>
            </a:r>
            <a:r>
              <a:rPr lang="en-GB" b="1"/>
              <a:t>nergy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075710449837353"/>
          <c:y val="0.23032730100381735"/>
          <c:w val="0.70027341407468535"/>
          <c:h val="0.61228191714972435"/>
        </c:manualLayout>
      </c:layout>
      <c:areaChart>
        <c:grouping val="stacked"/>
        <c:varyColors val="0"/>
        <c:ser>
          <c:idx val="0"/>
          <c:order val="0"/>
          <c:tx>
            <c:strRef>
              <c:f>Backend!$N$14</c:f>
              <c:strCache>
                <c:ptCount val="1"/>
                <c:pt idx="0">
                  <c:v>Base level</c:v>
                </c:pt>
              </c:strCache>
            </c:strRef>
          </c:tx>
          <c:spPr>
            <a:no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Backend!$O$14:$Z$14</c:f>
              <c:numCache>
                <c:formatCode>General</c:formatCode>
                <c:ptCount val="12"/>
                <c:pt idx="0" formatCode="#,##0">
                  <c:v>101.29408742351316</c:v>
                </c:pt>
                <c:pt idx="1">
                  <c:v>101.29408742351316</c:v>
                </c:pt>
                <c:pt idx="2">
                  <c:v>100.60143620524943</c:v>
                </c:pt>
                <c:pt idx="3">
                  <c:v>99.735622182419746</c:v>
                </c:pt>
                <c:pt idx="4">
                  <c:v>97.484505723062554</c:v>
                </c:pt>
                <c:pt idx="5">
                  <c:v>96.099203286535086</c:v>
                </c:pt>
                <c:pt idx="6">
                  <c:v>94.540738045441657</c:v>
                </c:pt>
                <c:pt idx="7">
                  <c:v>94.540738045441657</c:v>
                </c:pt>
                <c:pt idx="8">
                  <c:v>96.813499855369571</c:v>
                </c:pt>
                <c:pt idx="9">
                  <c:v>98.696645355024131</c:v>
                </c:pt>
                <c:pt idx="10">
                  <c:v>100.60143620524943</c:v>
                </c:pt>
                <c:pt idx="11">
                  <c:v>101.29408742351316</c:v>
                </c:pt>
              </c:numCache>
            </c:numRef>
          </c:val>
          <c:extLst>
            <c:ext xmlns:c16="http://schemas.microsoft.com/office/drawing/2014/chart" uri="{C3380CC4-5D6E-409C-BE32-E72D297353CC}">
              <c16:uniqueId val="{00000000-D163-4100-BF53-CB04AD68A6F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Backend!$O$15:$Z$15</c:f>
              <c:numCache>
                <c:formatCode>#,##0</c:formatCode>
                <c:ptCount val="12"/>
                <c:pt idx="0">
                  <c:v>28.325690513261492</c:v>
                </c:pt>
                <c:pt idx="1">
                  <c:v>28.325690513261492</c:v>
                </c:pt>
                <c:pt idx="2">
                  <c:v>28.325690513261492</c:v>
                </c:pt>
                <c:pt idx="3">
                  <c:v>28.325690513261492</c:v>
                </c:pt>
                <c:pt idx="4">
                  <c:v>28.325690513261492</c:v>
                </c:pt>
                <c:pt idx="5">
                  <c:v>28.325690513261492</c:v>
                </c:pt>
                <c:pt idx="6">
                  <c:v>28.325690513261492</c:v>
                </c:pt>
                <c:pt idx="7">
                  <c:v>28.325690513261492</c:v>
                </c:pt>
                <c:pt idx="8">
                  <c:v>28.325690513261492</c:v>
                </c:pt>
                <c:pt idx="9">
                  <c:v>28.325690513261492</c:v>
                </c:pt>
                <c:pt idx="10">
                  <c:v>28.325690513261492</c:v>
                </c:pt>
                <c:pt idx="11">
                  <c:v>28.325690513261492</c:v>
                </c:pt>
              </c:numCache>
            </c:numRef>
          </c:val>
          <c:extLst>
            <c:ext xmlns:c16="http://schemas.microsoft.com/office/drawing/2014/chart" uri="{C3380CC4-5D6E-409C-BE32-E72D297353CC}">
              <c16:uniqueId val="{00000001-D163-4100-BF53-CB04AD68A6F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Backend!$O$16:$Z$16</c:f>
              <c:numCache>
                <c:formatCode>#,##0</c:formatCode>
                <c:ptCount val="12"/>
                <c:pt idx="0">
                  <c:v>1.0389768273956292</c:v>
                </c:pt>
                <c:pt idx="1">
                  <c:v>1.0389768273956292</c:v>
                </c:pt>
                <c:pt idx="2">
                  <c:v>1.6666919939471256</c:v>
                </c:pt>
                <c:pt idx="3">
                  <c:v>2.424279263923097</c:v>
                </c:pt>
                <c:pt idx="4">
                  <c:v>4.0909712578702653</c:v>
                </c:pt>
                <c:pt idx="5">
                  <c:v>4.5022329187143413</c:v>
                </c:pt>
                <c:pt idx="6">
                  <c:v>5.1948841369780894</c:v>
                </c:pt>
                <c:pt idx="7">
                  <c:v>5.1948841369780894</c:v>
                </c:pt>
                <c:pt idx="8">
                  <c:v>3.7879363498798568</c:v>
                </c:pt>
                <c:pt idx="9">
                  <c:v>2.5974420684890305</c:v>
                </c:pt>
                <c:pt idx="10">
                  <c:v>1.4069477870982325</c:v>
                </c:pt>
                <c:pt idx="11">
                  <c:v>0.97404077568339176</c:v>
                </c:pt>
              </c:numCache>
            </c:numRef>
          </c:val>
          <c:extLst>
            <c:ext xmlns:c16="http://schemas.microsoft.com/office/drawing/2014/chart" uri="{C3380CC4-5D6E-409C-BE32-E72D297353CC}">
              <c16:uniqueId val="{00000002-D163-4100-BF53-CB04AD68A6F9}"/>
            </c:ext>
          </c:extLst>
        </c:ser>
        <c:ser>
          <c:idx val="1"/>
          <c:order val="3"/>
          <c:tx>
            <c:strRef>
              <c:f>Backend!$N$17</c:f>
              <c:strCache>
                <c:ptCount val="1"/>
                <c:pt idx="0">
                  <c:v>Model Uncertainty upper</c:v>
                </c:pt>
              </c:strCache>
            </c:strRef>
          </c:tx>
          <c:spPr>
            <a:solidFill>
              <a:srgbClr val="005A9B">
                <a:alpha val="20000"/>
              </a:srgbClr>
            </a:solid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Backend!$O$17:$Z$17</c:f>
              <c:numCache>
                <c:formatCode>General</c:formatCode>
                <c:ptCount val="12"/>
                <c:pt idx="0" formatCode="#,##0">
                  <c:v>28.325690513261492</c:v>
                </c:pt>
                <c:pt idx="1">
                  <c:v>28.325690513261492</c:v>
                </c:pt>
                <c:pt idx="2">
                  <c:v>28.325690513261492</c:v>
                </c:pt>
                <c:pt idx="3">
                  <c:v>28.325690513261492</c:v>
                </c:pt>
                <c:pt idx="4">
                  <c:v>28.325690513261492</c:v>
                </c:pt>
                <c:pt idx="5">
                  <c:v>28.325690513261492</c:v>
                </c:pt>
                <c:pt idx="6">
                  <c:v>28.325690513261492</c:v>
                </c:pt>
                <c:pt idx="7">
                  <c:v>28.325690513261492</c:v>
                </c:pt>
                <c:pt idx="8">
                  <c:v>28.325690513261492</c:v>
                </c:pt>
                <c:pt idx="9">
                  <c:v>28.325690513261492</c:v>
                </c:pt>
                <c:pt idx="10">
                  <c:v>28.325690513261492</c:v>
                </c:pt>
                <c:pt idx="11">
                  <c:v>28.325690513261492</c:v>
                </c:pt>
              </c:numCache>
            </c:numRef>
          </c:val>
          <c:extLst>
            <c:ext xmlns:c16="http://schemas.microsoft.com/office/drawing/2014/chart" uri="{C3380CC4-5D6E-409C-BE32-E72D297353CC}">
              <c16:uniqueId val="{00000003-D163-4100-BF53-CB04AD68A6F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Backend!$O$10:$Z$10</c:f>
              <c:numCache>
                <c:formatCode>#,##0</c:formatCode>
                <c:ptCount val="12"/>
                <c:pt idx="0">
                  <c:v>130.33407450560915</c:v>
                </c:pt>
                <c:pt idx="1">
                  <c:v>130.33407450560915</c:v>
                </c:pt>
                <c:pt idx="2">
                  <c:v>130.02562825997606</c:v>
                </c:pt>
                <c:pt idx="3">
                  <c:v>129.61977793677465</c:v>
                </c:pt>
                <c:pt idx="4">
                  <c:v>128.2940002143167</c:v>
                </c:pt>
                <c:pt idx="5">
                  <c:v>127.02233586828562</c:v>
                </c:pt>
                <c:pt idx="6">
                  <c:v>125.81019623632405</c:v>
                </c:pt>
                <c:pt idx="7">
                  <c:v>125.81019623632405</c:v>
                </c:pt>
                <c:pt idx="8">
                  <c:v>127.29831408806257</c:v>
                </c:pt>
                <c:pt idx="9">
                  <c:v>128.51586505766682</c:v>
                </c:pt>
                <c:pt idx="10">
                  <c:v>129.76588405312717</c:v>
                </c:pt>
                <c:pt idx="11">
                  <c:v>130.24208176568348</c:v>
                </c:pt>
              </c:numCache>
            </c:numRef>
          </c:val>
          <c:smooth val="0"/>
          <c:extLst>
            <c:ext xmlns:c16="http://schemas.microsoft.com/office/drawing/2014/chart" uri="{C3380CC4-5D6E-409C-BE32-E72D297353CC}">
              <c16:uniqueId val="{00000004-D163-4100-BF53-CB04AD68A6F9}"/>
            </c:ext>
          </c:extLst>
        </c:ser>
        <c:ser>
          <c:idx val="5"/>
          <c:order val="5"/>
          <c:tx>
            <c:strRef>
              <c:f>Backend!$N$19</c:f>
              <c:strCache>
                <c:ptCount val="1"/>
                <c:pt idx="0">
                  <c:v>MaxPowa V65e Max Battery</c:v>
                </c:pt>
              </c:strCache>
            </c:strRef>
          </c:tx>
          <c:spPr>
            <a:ln w="19050" cap="rnd">
              <a:solidFill>
                <a:srgbClr val="C00000"/>
              </a:solidFill>
              <a:prstDash val="dash"/>
              <a:round/>
            </a:ln>
            <a:effectLst/>
          </c:spPr>
          <c:marker>
            <c:symbol val="none"/>
          </c:marker>
          <c:val>
            <c:numRef>
              <c:f>Backend!$O$19:$Z$19</c:f>
              <c:numCache>
                <c:formatCode>General</c:formatCode>
                <c:ptCount val="12"/>
                <c:pt idx="0">
                  <c:v>200</c:v>
                </c:pt>
                <c:pt idx="1">
                  <c:v>200</c:v>
                </c:pt>
                <c:pt idx="2">
                  <c:v>200</c:v>
                </c:pt>
                <c:pt idx="3">
                  <c:v>200</c:v>
                </c:pt>
                <c:pt idx="4">
                  <c:v>200</c:v>
                </c:pt>
                <c:pt idx="5">
                  <c:v>200</c:v>
                </c:pt>
                <c:pt idx="6">
                  <c:v>200</c:v>
                </c:pt>
                <c:pt idx="7">
                  <c:v>200</c:v>
                </c:pt>
                <c:pt idx="8">
                  <c:v>200</c:v>
                </c:pt>
                <c:pt idx="9">
                  <c:v>200</c:v>
                </c:pt>
                <c:pt idx="10">
                  <c:v>200</c:v>
                </c:pt>
                <c:pt idx="11">
                  <c:v>200</c:v>
                </c:pt>
              </c:numCache>
            </c:numRef>
          </c:val>
          <c:smooth val="0"/>
          <c:extLst>
            <c:ext xmlns:c16="http://schemas.microsoft.com/office/drawing/2014/chart" uri="{C3380CC4-5D6E-409C-BE32-E72D297353CC}">
              <c16:uniqueId val="{00000005-D163-4100-BF53-CB04AD68A6F9}"/>
            </c:ext>
          </c:extLst>
        </c:ser>
        <c:dLbls>
          <c:showLegendKey val="0"/>
          <c:showVal val="0"/>
          <c:showCatName val="0"/>
          <c:showSerName val="0"/>
          <c:showPercent val="0"/>
          <c:showBubbleSize val="0"/>
        </c:dLbls>
        <c:marker val="1"/>
        <c:smooth val="0"/>
        <c:axId val="1764805744"/>
        <c:axId val="1764806160"/>
      </c:lineChart>
      <c:lineChart>
        <c:grouping val="standard"/>
        <c:varyColors val="0"/>
        <c:ser>
          <c:idx val="6"/>
          <c:order val="6"/>
          <c:tx>
            <c:strRef>
              <c:f>Backend!$N$20</c:f>
              <c:strCache>
                <c:ptCount val="1"/>
                <c:pt idx="0">
                  <c:v>Battery capacity</c:v>
                </c:pt>
              </c:strCache>
            </c:strRef>
          </c:tx>
          <c:spPr>
            <a:ln w="19050" cap="rnd">
              <a:noFill/>
              <a:round/>
            </a:ln>
            <a:effectLst/>
          </c:spPr>
          <c:marker>
            <c:symbol val="none"/>
          </c:marker>
          <c:val>
            <c:numRef>
              <c:f>Backend!$O$20:$Z$20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9EF9-40FB-87D1-DD89775AE24C}"/>
            </c:ext>
          </c:extLst>
        </c:ser>
        <c:dLbls>
          <c:showLegendKey val="0"/>
          <c:showVal val="0"/>
          <c:showCatName val="0"/>
          <c:showSerName val="0"/>
          <c:showPercent val="0"/>
          <c:showBubbleSize val="0"/>
        </c:dLbls>
        <c:marker val="1"/>
        <c:smooth val="0"/>
        <c:axId val="1187751264"/>
        <c:axId val="1187752512"/>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max val="2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Energy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valAx>
        <c:axId val="1187752512"/>
        <c:scaling>
          <c:orientation val="minMax"/>
          <c:max val="1.25"/>
          <c:min val="0"/>
        </c:scaling>
        <c:delete val="0"/>
        <c:axPos val="r"/>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Battery capacity used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87751264"/>
        <c:crosses val="max"/>
        <c:crossBetween val="between"/>
      </c:valAx>
      <c:catAx>
        <c:axId val="1187751264"/>
        <c:scaling>
          <c:orientation val="minMax"/>
        </c:scaling>
        <c:delete val="1"/>
        <c:axPos val="b"/>
        <c:majorTickMark val="out"/>
        <c:minorTickMark val="none"/>
        <c:tickLblPos val="nextTo"/>
        <c:crossAx val="1187752512"/>
        <c:crosses val="autoZero"/>
        <c:auto val="1"/>
        <c:lblAlgn val="ctr"/>
        <c:lblOffset val="100"/>
        <c:noMultiLvlLbl val="0"/>
      </c:cat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legendEntry>
        <c:idx val="6"/>
        <c:delete val="1"/>
      </c:legendEntry>
      <c:layout>
        <c:manualLayout>
          <c:xMode val="edge"/>
          <c:yMode val="edge"/>
          <c:x val="3.8253679858392509E-2"/>
          <c:y val="7.5084358358075309E-2"/>
          <c:w val="0.93764358473061837"/>
          <c:h val="0.122324331966633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a:t>
            </a:r>
            <a:r>
              <a:rPr lang="en-GB" b="1" baseline="0"/>
              <a:t>operating hours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areaChart>
        <c:grouping val="stacked"/>
        <c:varyColors val="0"/>
        <c:ser>
          <c:idx val="0"/>
          <c:order val="0"/>
          <c:tx>
            <c:strRef>
              <c:f>Backend!$N$14</c:f>
              <c:strCache>
                <c:ptCount val="1"/>
                <c:pt idx="0">
                  <c:v>Base level</c:v>
                </c:pt>
              </c:strCache>
            </c:strRef>
          </c:tx>
          <c:spPr>
            <a:no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Backend!$O$43:$Z$43</c:f>
              <c:numCache>
                <c:formatCode>General</c:formatCode>
                <c:ptCount val="12"/>
                <c:pt idx="0" formatCode="#,##0">
                  <c:v>7.6206986422017451</c:v>
                </c:pt>
                <c:pt idx="1">
                  <c:v>7.6206986422017451</c:v>
                </c:pt>
                <c:pt idx="2">
                  <c:v>7.6244879339614346</c:v>
                </c:pt>
                <c:pt idx="3">
                  <c:v>7.6308118012855779</c:v>
                </c:pt>
                <c:pt idx="4">
                  <c:v>7.6651427714657343</c:v>
                </c:pt>
                <c:pt idx="5">
                  <c:v>7.723052707108244</c:v>
                </c:pt>
                <c:pt idx="6">
                  <c:v>7.7752677531054459</c:v>
                </c:pt>
                <c:pt idx="7">
                  <c:v>7.7752677531054459</c:v>
                </c:pt>
                <c:pt idx="8">
                  <c:v>7.723052707108244</c:v>
                </c:pt>
                <c:pt idx="9">
                  <c:v>7.6817829105429167</c:v>
                </c:pt>
                <c:pt idx="10">
                  <c:v>7.6396828596057675</c:v>
                </c:pt>
                <c:pt idx="11">
                  <c:v>7.6244879339614346</c:v>
                </c:pt>
              </c:numCache>
            </c:numRef>
          </c:val>
          <c:extLst>
            <c:ext xmlns:c16="http://schemas.microsoft.com/office/drawing/2014/chart" uri="{C3380CC4-5D6E-409C-BE32-E72D297353CC}">
              <c16:uniqueId val="{00000000-CC6C-476B-9F8C-6D3AC5BD642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Backend!$O$44:$Z$44</c:f>
              <c:numCache>
                <c:formatCode>#,##0.000</c:formatCode>
                <c:ptCount val="12"/>
                <c:pt idx="0">
                  <c:v>1.2573899489050433</c:v>
                </c:pt>
                <c:pt idx="1">
                  <c:v>1.2573899489050433</c:v>
                </c:pt>
                <c:pt idx="2">
                  <c:v>1.2580151694518467</c:v>
                </c:pt>
                <c:pt idx="3">
                  <c:v>1.2590585865432349</c:v>
                </c:pt>
                <c:pt idx="4">
                  <c:v>1.2647230825254843</c:v>
                </c:pt>
                <c:pt idx="5">
                  <c:v>1.2742780294453633</c:v>
                </c:pt>
                <c:pt idx="6">
                  <c:v>1.2828933385004824</c:v>
                </c:pt>
                <c:pt idx="7">
                  <c:v>1.2828933385004824</c:v>
                </c:pt>
                <c:pt idx="8">
                  <c:v>1.2742780294453633</c:v>
                </c:pt>
                <c:pt idx="9">
                  <c:v>1.2674686501704455</c:v>
                </c:pt>
                <c:pt idx="10">
                  <c:v>1.2605222816834916</c:v>
                </c:pt>
                <c:pt idx="11">
                  <c:v>1.2580151694518467</c:v>
                </c:pt>
              </c:numCache>
            </c:numRef>
          </c:val>
          <c:extLst>
            <c:ext xmlns:c16="http://schemas.microsoft.com/office/drawing/2014/chart" uri="{C3380CC4-5D6E-409C-BE32-E72D297353CC}">
              <c16:uniqueId val="{00000001-CC6C-476B-9F8C-6D3AC5BD6429}"/>
            </c:ext>
          </c:extLst>
        </c:ser>
        <c:ser>
          <c:idx val="2"/>
          <c:order val="2"/>
          <c:tx>
            <c:strRef>
              <c:f>Backend!$N$16</c:f>
              <c:strCache>
                <c:ptCount val="1"/>
                <c:pt idx="0">
                  <c:v>Temperature Uncertainty</c:v>
                </c:pt>
              </c:strCache>
            </c:strRef>
          </c:tx>
          <c:spPr>
            <a:solidFill>
              <a:srgbClr val="005A9B">
                <a:alpha val="55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Backend!$O$45:$Z$45</c:f>
              <c:numCache>
                <c:formatCode>#,##0.000</c:formatCode>
                <c:ptCount val="12"/>
                <c:pt idx="0">
                  <c:v>7.1162969606573867E-2</c:v>
                </c:pt>
                <c:pt idx="1">
                  <c:v>7.1162969606573867E-2</c:v>
                </c:pt>
                <c:pt idx="2">
                  <c:v>0.11482763314032596</c:v>
                </c:pt>
                <c:pt idx="3">
                  <c:v>0.16829070377711552</c:v>
                </c:pt>
                <c:pt idx="4">
                  <c:v>0.29037252653746215</c:v>
                </c:pt>
                <c:pt idx="5">
                  <c:v>0.32556249304781915</c:v>
                </c:pt>
                <c:pt idx="6">
                  <c:v>0.38298579943253763</c:v>
                </c:pt>
                <c:pt idx="7">
                  <c:v>0.38298579943253763</c:v>
                </c:pt>
                <c:pt idx="8">
                  <c:v>0.27234726426219424</c:v>
                </c:pt>
                <c:pt idx="9">
                  <c:v>0.18300059061574636</c:v>
                </c:pt>
                <c:pt idx="10">
                  <c:v>9.7125595264348163E-2</c:v>
                </c:pt>
                <c:pt idx="11">
                  <c:v>6.6748457300080943E-2</c:v>
                </c:pt>
              </c:numCache>
            </c:numRef>
          </c:val>
          <c:extLst>
            <c:ext xmlns:c16="http://schemas.microsoft.com/office/drawing/2014/chart" uri="{C3380CC4-5D6E-409C-BE32-E72D297353CC}">
              <c16:uniqueId val="{00000002-CC6C-476B-9F8C-6D3AC5BD6429}"/>
            </c:ext>
          </c:extLst>
        </c:ser>
        <c:ser>
          <c:idx val="1"/>
          <c:order val="3"/>
          <c:tx>
            <c:strRef>
              <c:f>Backend!$N$17</c:f>
              <c:strCache>
                <c:ptCount val="1"/>
                <c:pt idx="0">
                  <c:v>Model Uncertainty upper</c:v>
                </c:pt>
              </c:strCache>
            </c:strRef>
          </c:tx>
          <c:spPr>
            <a:solidFill>
              <a:srgbClr val="005A9B">
                <a:alpha val="2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Backend!$O$46:$Z$46</c:f>
              <c:numCache>
                <c:formatCode>General</c:formatCode>
                <c:ptCount val="12"/>
                <c:pt idx="0" formatCode="#,##0">
                  <c:v>1.2674686501704464</c:v>
                </c:pt>
                <c:pt idx="1">
                  <c:v>1.2674686501704464</c:v>
                </c:pt>
                <c:pt idx="2">
                  <c:v>1.2742780294453624</c:v>
                </c:pt>
                <c:pt idx="3">
                  <c:v>1.2828933385004824</c:v>
                </c:pt>
                <c:pt idx="4">
                  <c:v>1.3058480941267536</c:v>
                </c:pt>
                <c:pt idx="5">
                  <c:v>1.320386941549355</c:v>
                </c:pt>
                <c:pt idx="6">
                  <c:v>1.3371350246289833</c:v>
                </c:pt>
                <c:pt idx="7">
                  <c:v>1.3371350246289833</c:v>
                </c:pt>
                <c:pt idx="8">
                  <c:v>1.3128501510434845</c:v>
                </c:pt>
                <c:pt idx="9">
                  <c:v>1.2933867406380735</c:v>
                </c:pt>
                <c:pt idx="10">
                  <c:v>1.2742780294453624</c:v>
                </c:pt>
                <c:pt idx="11">
                  <c:v>1.2674686501704464</c:v>
                </c:pt>
              </c:numCache>
            </c:numRef>
          </c:val>
          <c:extLst>
            <c:ext xmlns:c16="http://schemas.microsoft.com/office/drawing/2014/chart" uri="{C3380CC4-5D6E-409C-BE32-E72D297353CC}">
              <c16:uniqueId val="{00000003-CC6C-476B-9F8C-6D3AC5BD642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chemeClr val="tx1"/>
              </a:solidFill>
              <a:round/>
            </a:ln>
            <a:effectLst/>
          </c:spPr>
          <c:marker>
            <c:symbol val="circle"/>
            <c:size val="4"/>
            <c:spPr>
              <a:solidFill>
                <a:srgbClr val="002060"/>
              </a:solidFill>
              <a:ln w="9525">
                <a:solidFill>
                  <a:srgbClr val="002060"/>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Backend!$O$39:$Z$39</c:f>
              <c:numCache>
                <c:formatCode>#,##0.00</c:formatCode>
                <c:ptCount val="12"/>
                <c:pt idx="0">
                  <c:v>8.9002051412892591</c:v>
                </c:pt>
                <c:pt idx="1">
                  <c:v>8.9002051412892591</c:v>
                </c:pt>
                <c:pt idx="2">
                  <c:v>8.9213181702969422</c:v>
                </c:pt>
                <c:pt idx="3">
                  <c:v>8.9492515607133623</c:v>
                </c:pt>
                <c:pt idx="4">
                  <c:v>9.0417322560852877</c:v>
                </c:pt>
                <c:pt idx="5">
                  <c:v>9.1322521513291086</c:v>
                </c:pt>
                <c:pt idx="6">
                  <c:v>9.2202383805286807</c:v>
                </c:pt>
                <c:pt idx="7">
                  <c:v>9.2202383805286807</c:v>
                </c:pt>
                <c:pt idx="8">
                  <c:v>9.1124537532958527</c:v>
                </c:pt>
                <c:pt idx="9">
                  <c:v>9.0261229575001671</c:v>
                </c:pt>
                <c:pt idx="10">
                  <c:v>8.9391754116597149</c:v>
                </c:pt>
                <c:pt idx="11">
                  <c:v>8.906491544621792</c:v>
                </c:pt>
              </c:numCache>
            </c:numRef>
          </c:val>
          <c:smooth val="0"/>
          <c:extLst>
            <c:ext xmlns:c16="http://schemas.microsoft.com/office/drawing/2014/chart" uri="{C3380CC4-5D6E-409C-BE32-E72D297353CC}">
              <c16:uniqueId val="{00000004-CC6C-476B-9F8C-6D3AC5BD6429}"/>
            </c:ext>
          </c:extLst>
        </c:ser>
        <c:ser>
          <c:idx val="5"/>
          <c:order val="5"/>
          <c:tx>
            <c:strRef>
              <c:f>Backend!$N$48</c:f>
              <c:strCache>
                <c:ptCount val="1"/>
                <c:pt idx="0">
                  <c:v>Expected Operating Hours</c:v>
                </c:pt>
              </c:strCache>
            </c:strRef>
          </c:tx>
          <c:spPr>
            <a:ln w="19050" cap="rnd">
              <a:solidFill>
                <a:schemeClr val="accent2"/>
              </a:solidFill>
              <a:prstDash val="dash"/>
              <a:round/>
            </a:ln>
            <a:effectLst/>
          </c:spPr>
          <c:marker>
            <c:symbol val="none"/>
          </c:marker>
          <c:val>
            <c:numRef>
              <c:f>Backend!$O$48:$Z$48</c:f>
              <c:numCache>
                <c:formatCode>General</c:formatCode>
                <c:ptCount val="12"/>
                <c:pt idx="0">
                  <c:v>5.8</c:v>
                </c:pt>
                <c:pt idx="1">
                  <c:v>5.8</c:v>
                </c:pt>
                <c:pt idx="2">
                  <c:v>5.8</c:v>
                </c:pt>
                <c:pt idx="3">
                  <c:v>5.8</c:v>
                </c:pt>
                <c:pt idx="4">
                  <c:v>5.8</c:v>
                </c:pt>
                <c:pt idx="5">
                  <c:v>5.8</c:v>
                </c:pt>
                <c:pt idx="6">
                  <c:v>5.8</c:v>
                </c:pt>
                <c:pt idx="7">
                  <c:v>5.8</c:v>
                </c:pt>
                <c:pt idx="8">
                  <c:v>5.8</c:v>
                </c:pt>
                <c:pt idx="9">
                  <c:v>5.8</c:v>
                </c:pt>
                <c:pt idx="10">
                  <c:v>5.8</c:v>
                </c:pt>
                <c:pt idx="11">
                  <c:v>5.8</c:v>
                </c:pt>
              </c:numCache>
            </c:numRef>
          </c:val>
          <c:smooth val="0"/>
          <c:extLst>
            <c:ext xmlns:c16="http://schemas.microsoft.com/office/drawing/2014/chart" uri="{C3380CC4-5D6E-409C-BE32-E72D297353CC}">
              <c16:uniqueId val="{00000005-CC6C-476B-9F8C-6D3AC5BD6429}"/>
            </c:ext>
          </c:extLst>
        </c:ser>
        <c:dLbls>
          <c:showLegendKey val="0"/>
          <c:showVal val="0"/>
          <c:showCatName val="0"/>
          <c:showSerName val="0"/>
          <c:showPercent val="0"/>
          <c:showBubbleSize val="0"/>
        </c:dLbls>
        <c:marker val="1"/>
        <c:smooth val="0"/>
        <c:axId val="1764805744"/>
        <c:axId val="1764806160"/>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Estimated Max Hours on One Charge</a:t>
                </a:r>
                <a:r>
                  <a:rPr lang="en-GB" baseline="0"/>
                  <a:t> (hours)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256030063763915"/>
          <c:y val="6.3492063492063489E-2"/>
          <c:w val="0.53300447498573944"/>
          <c:h val="0.7068608090655335"/>
        </c:manualLayout>
      </c:layout>
      <c:barChart>
        <c:barDir val="bar"/>
        <c:grouping val="stacked"/>
        <c:varyColors val="0"/>
        <c:ser>
          <c:idx val="0"/>
          <c:order val="0"/>
          <c:tx>
            <c:v>Low</c:v>
          </c:tx>
          <c:spPr>
            <a:noFill/>
            <a:ln>
              <a:noFill/>
            </a:ln>
            <a:effectLst/>
          </c:spPr>
          <c:invertIfNegative val="0"/>
          <c:cat>
            <c:strRef>
              <c:f>Sensitivity!$A$31:$A$35</c:f>
              <c:strCache>
                <c:ptCount val="5"/>
                <c:pt idx="0">
                  <c:v>Round time (hours)</c:v>
                </c:pt>
                <c:pt idx="1">
                  <c:v>Distance (miles)</c:v>
                </c:pt>
                <c:pt idx="2">
                  <c:v>Ratio of Sweeping to Total Use Time</c:v>
                </c:pt>
                <c:pt idx="3">
                  <c:v>Fan Speed</c:v>
                </c:pt>
                <c:pt idx="4">
                  <c:v>Temperature (oC)</c:v>
                </c:pt>
              </c:strCache>
            </c:strRef>
          </c:cat>
          <c:val>
            <c:numRef>
              <c:f>Sensitivity!$B$31:$B$35</c:f>
              <c:numCache>
                <c:formatCode>#,##0.00</c:formatCode>
                <c:ptCount val="5"/>
                <c:pt idx="0">
                  <c:v>60.028913502969864</c:v>
                </c:pt>
                <c:pt idx="1">
                  <c:v>88.820110863505306</c:v>
                </c:pt>
                <c:pt idx="2">
                  <c:v>126.54438337576428</c:v>
                </c:pt>
                <c:pt idx="3">
                  <c:v>40.094743096509269</c:v>
                </c:pt>
                <c:pt idx="4">
                  <c:v>113.22317661587226</c:v>
                </c:pt>
              </c:numCache>
            </c:numRef>
          </c:val>
          <c:extLst>
            <c:ext xmlns:c16="http://schemas.microsoft.com/office/drawing/2014/chart" uri="{C3380CC4-5D6E-409C-BE32-E72D297353CC}">
              <c16:uniqueId val="{00000000-3574-459F-AEDC-F3017F3037E9}"/>
            </c:ext>
          </c:extLst>
        </c:ser>
        <c:ser>
          <c:idx val="1"/>
          <c:order val="1"/>
          <c:tx>
            <c:v>Baseline</c:v>
          </c:tx>
          <c:spPr>
            <a:solidFill>
              <a:schemeClr val="accent2"/>
            </a:solidFill>
            <a:ln>
              <a:noFill/>
            </a:ln>
            <a:effectLst/>
          </c:spPr>
          <c:invertIfNegative val="0"/>
          <c:cat>
            <c:strRef>
              <c:f>Sensitivity!$A$31:$A$35</c:f>
              <c:strCache>
                <c:ptCount val="5"/>
                <c:pt idx="0">
                  <c:v>Round time (hours)</c:v>
                </c:pt>
                <c:pt idx="1">
                  <c:v>Distance (miles)</c:v>
                </c:pt>
                <c:pt idx="2">
                  <c:v>Ratio of Sweeping to Total Use Time</c:v>
                </c:pt>
                <c:pt idx="3">
                  <c:v>Fan Speed</c:v>
                </c:pt>
                <c:pt idx="4">
                  <c:v>Temperature (oC)</c:v>
                </c:pt>
              </c:strCache>
            </c:strRef>
          </c:cat>
          <c:val>
            <c:numRef>
              <c:f>Sensitivity!$E$31:$E$35</c:f>
              <c:numCache>
                <c:formatCode>#,##0</c:formatCode>
                <c:ptCount val="5"/>
                <c:pt idx="0">
                  <c:v>66.515469872794426</c:v>
                </c:pt>
                <c:pt idx="1">
                  <c:v>-88.6701108635053</c:v>
                </c:pt>
                <c:pt idx="2">
                  <c:v>-126.39438337576428</c:v>
                </c:pt>
                <c:pt idx="3">
                  <c:v>-39.944743096509271</c:v>
                </c:pt>
                <c:pt idx="4">
                  <c:v>-113.07317661587226</c:v>
                </c:pt>
              </c:numCache>
            </c:numRef>
          </c:val>
          <c:extLst>
            <c:ext xmlns:c16="http://schemas.microsoft.com/office/drawing/2014/chart" uri="{C3380CC4-5D6E-409C-BE32-E72D297353CC}">
              <c16:uniqueId val="{00000001-3574-459F-AEDC-F3017F3037E9}"/>
            </c:ext>
          </c:extLst>
        </c:ser>
        <c:ser>
          <c:idx val="2"/>
          <c:order val="2"/>
          <c:tx>
            <c:v>High</c:v>
          </c:tx>
          <c:spPr>
            <a:solidFill>
              <a:schemeClr val="accent3"/>
            </a:solidFill>
            <a:ln>
              <a:noFill/>
            </a:ln>
            <a:effectLst/>
          </c:spPr>
          <c:invertIfNegative val="0"/>
          <c:cat>
            <c:strRef>
              <c:f>Sensitivity!$A$31:$A$35</c:f>
              <c:strCache>
                <c:ptCount val="5"/>
                <c:pt idx="0">
                  <c:v>Round time (hours)</c:v>
                </c:pt>
                <c:pt idx="1">
                  <c:v>Distance (miles)</c:v>
                </c:pt>
                <c:pt idx="2">
                  <c:v>Ratio of Sweeping to Total Use Time</c:v>
                </c:pt>
                <c:pt idx="3">
                  <c:v>Fan Speed</c:v>
                </c:pt>
                <c:pt idx="4">
                  <c:v>Temperature (oC)</c:v>
                </c:pt>
              </c:strCache>
            </c:strRef>
          </c:cat>
          <c:val>
            <c:numRef>
              <c:f>Sensitivity!$F$31:$F$35</c:f>
              <c:numCache>
                <c:formatCode>#,##0</c:formatCode>
                <c:ptCount val="5"/>
                <c:pt idx="0">
                  <c:v>175.16005914287913</c:v>
                </c:pt>
                <c:pt idx="1">
                  <c:v>242.77731010721578</c:v>
                </c:pt>
                <c:pt idx="2">
                  <c:v>126.39438337576428</c:v>
                </c:pt>
                <c:pt idx="3">
                  <c:v>149.72355724872972</c:v>
                </c:pt>
                <c:pt idx="4">
                  <c:v>131.88689108309006</c:v>
                </c:pt>
              </c:numCache>
            </c:numRef>
          </c:val>
          <c:extLst>
            <c:ext xmlns:c16="http://schemas.microsoft.com/office/drawing/2014/chart" uri="{C3380CC4-5D6E-409C-BE32-E72D297353CC}">
              <c16:uniqueId val="{00000002-3574-459F-AEDC-F3017F3037E9}"/>
            </c:ext>
          </c:extLst>
        </c:ser>
        <c:dLbls>
          <c:showLegendKey val="0"/>
          <c:showVal val="0"/>
          <c:showCatName val="0"/>
          <c:showSerName val="0"/>
          <c:showPercent val="0"/>
          <c:showBubbleSize val="0"/>
        </c:dLbls>
        <c:gapWidth val="150"/>
        <c:overlap val="100"/>
        <c:axId val="2118810031"/>
        <c:axId val="2118806703"/>
      </c:barChart>
      <c:catAx>
        <c:axId val="2118810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06703"/>
        <c:crosses val="autoZero"/>
        <c:auto val="1"/>
        <c:lblAlgn val="ctr"/>
        <c:lblOffset val="100"/>
        <c:noMultiLvlLbl val="0"/>
      </c:catAx>
      <c:valAx>
        <c:axId val="2118806703"/>
        <c:scaling>
          <c:orientation val="minMax"/>
          <c:min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Daily</a:t>
                </a:r>
                <a:r>
                  <a:rPr lang="en-GB" baseline="0"/>
                  <a:t> Energy Use (kWh)</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10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35985</xdr:colOff>
      <xdr:row>3</xdr:row>
      <xdr:rowOff>1689</xdr:rowOff>
    </xdr:from>
    <xdr:to>
      <xdr:col>12</xdr:col>
      <xdr:colOff>304800</xdr:colOff>
      <xdr:row>20</xdr:row>
      <xdr:rowOff>134471</xdr:rowOff>
    </xdr:to>
    <xdr:graphicFrame macro="">
      <xdr:nvGraphicFramePr>
        <xdr:cNvPr id="4" name="Chart 3">
          <a:extLst>
            <a:ext uri="{FF2B5EF4-FFF2-40B4-BE49-F238E27FC236}">
              <a16:creationId xmlns:a16="http://schemas.microsoft.com/office/drawing/2014/main" id="{06D5C395-C783-41B3-A4CC-DEEBF0882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291256</xdr:colOff>
      <xdr:row>3</xdr:row>
      <xdr:rowOff>1689</xdr:rowOff>
    </xdr:from>
    <xdr:to>
      <xdr:col>19</xdr:col>
      <xdr:colOff>121920</xdr:colOff>
      <xdr:row>20</xdr:row>
      <xdr:rowOff>134471</xdr:rowOff>
    </xdr:to>
    <xdr:graphicFrame macro="">
      <xdr:nvGraphicFramePr>
        <xdr:cNvPr id="5" name="Chart 4">
          <a:extLst>
            <a:ext uri="{FF2B5EF4-FFF2-40B4-BE49-F238E27FC236}">
              <a16:creationId xmlns:a16="http://schemas.microsoft.com/office/drawing/2014/main" id="{240A4D9D-8E09-49B6-989B-598AE0EB9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10</xdr:row>
      <xdr:rowOff>952</xdr:rowOff>
    </xdr:from>
    <xdr:to>
      <xdr:col>5</xdr:col>
      <xdr:colOff>0</xdr:colOff>
      <xdr:row>26</xdr:row>
      <xdr:rowOff>175260</xdr:rowOff>
    </xdr:to>
    <xdr:graphicFrame macro="">
      <xdr:nvGraphicFramePr>
        <xdr:cNvPr id="3" name="Chart 2">
          <a:extLst>
            <a:ext uri="{FF2B5EF4-FFF2-40B4-BE49-F238E27FC236}">
              <a16:creationId xmlns:a16="http://schemas.microsoft.com/office/drawing/2014/main" id="{20D4FEC3-FCC4-029E-96B7-F1FDAC5862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886CDA-DFDD-4A15-AF53-47AF1D935CD3}" name="Table1" displayName="Table1" ref="A1:B6" totalsRowShown="0">
  <autoFilter ref="A1:B6" xr:uid="{49886CDA-DFDD-4A15-AF53-47AF1D935CD3}"/>
  <tableColumns count="2">
    <tableColumn id="1" xr3:uid="{4642823D-348D-450F-9524-0302312017CD}" name="Fan speed"/>
    <tableColumn id="2" xr3:uid="{BF672FFC-9D2A-487E-AFF6-396464D5C8CE}" name="Column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FAD002-34E6-41B1-90E6-1CAF3051BB76}" name="Table57" displayName="Table57" ref="D1:E5" totalsRowShown="0">
  <autoFilter ref="D1:E5" xr:uid="{36FAD002-34E6-41B1-90E6-1CAF3051BB76}"/>
  <tableColumns count="2">
    <tableColumn id="1" xr3:uid="{2A0BFAB1-1478-4030-A02C-FB22FF56A56D}" name="Temp"/>
    <tableColumn id="2" xr3:uid="{09B598B0-5448-4843-98BD-C1C7AF23EC50}" name="Avg Temp"/>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D564D9-4F02-4345-A885-E55088BCA392}" name="Table4" displayName="Table4" ref="G1:H5" totalsRowShown="0">
  <autoFilter ref="G1:H5" xr:uid="{9BD564D9-4F02-4345-A885-E55088BCA392}"/>
  <tableColumns count="2">
    <tableColumn id="1" xr3:uid="{1E9C4F1A-5C34-4AB2-A407-C92383E2FB33}" name="Sweep Ratio"/>
    <tableColumn id="2" xr3:uid="{33028E32-1B08-4907-A1E4-564FDA38D5E0}" name="Ratio"/>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ex.co.uk/projects-case-studies/ultra-low-emission-waste-and-recycling-vehicles/" TargetMode="External"/><Relationship Id="rId1" Type="http://schemas.openxmlformats.org/officeDocument/2006/relationships/hyperlink" Target="https://www.cenex.co.uk/projects-case-studies/ultra-low-emission-waste-and-recycling-vehicl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50AC-6BBD-40FD-B5A0-7A058E87F874}">
  <dimension ref="A2:D23"/>
  <sheetViews>
    <sheetView showGridLines="0" tabSelected="1" zoomScale="90" zoomScaleNormal="90" workbookViewId="0">
      <selection activeCell="B22" sqref="B22:D22"/>
    </sheetView>
  </sheetViews>
  <sheetFormatPr defaultRowHeight="14.4" x14ac:dyDescent="0.3"/>
  <cols>
    <col min="2" max="2" width="31" customWidth="1"/>
    <col min="3" max="3" width="12.44140625" bestFit="1" customWidth="1"/>
    <col min="4" max="4" width="124.33203125" customWidth="1"/>
  </cols>
  <sheetData>
    <row r="2" spans="1:4" x14ac:dyDescent="0.3">
      <c r="B2" s="2" t="s">
        <v>141</v>
      </c>
    </row>
    <row r="3" spans="1:4" ht="132.6" customHeight="1" x14ac:dyDescent="0.3">
      <c r="B3" s="95" t="s">
        <v>146</v>
      </c>
      <c r="C3" s="95"/>
      <c r="D3" s="95"/>
    </row>
    <row r="4" spans="1:4" x14ac:dyDescent="0.3">
      <c r="B4" s="96" t="s">
        <v>142</v>
      </c>
      <c r="C4" s="96"/>
      <c r="D4" s="96"/>
    </row>
    <row r="6" spans="1:4" ht="15" thickBot="1" x14ac:dyDescent="0.35">
      <c r="B6" s="2" t="s">
        <v>57</v>
      </c>
    </row>
    <row r="7" spans="1:4" ht="15" thickBot="1" x14ac:dyDescent="0.35">
      <c r="B7" s="3" t="s">
        <v>47</v>
      </c>
      <c r="C7" s="40" t="s">
        <v>59</v>
      </c>
    </row>
    <row r="8" spans="1:4" ht="15" thickBot="1" x14ac:dyDescent="0.35">
      <c r="B8" s="5" t="s">
        <v>58</v>
      </c>
      <c r="C8" s="41" t="s">
        <v>60</v>
      </c>
    </row>
    <row r="10" spans="1:4" x14ac:dyDescent="0.3">
      <c r="A10" s="2">
        <v>1</v>
      </c>
      <c r="B10" s="2" t="s">
        <v>44</v>
      </c>
    </row>
    <row r="11" spans="1:4" ht="92.4" customHeight="1" x14ac:dyDescent="0.3">
      <c r="B11" s="94" t="s">
        <v>94</v>
      </c>
      <c r="C11" s="94"/>
      <c r="D11" s="94"/>
    </row>
    <row r="13" spans="1:4" x14ac:dyDescent="0.3">
      <c r="B13" s="6" t="s">
        <v>39</v>
      </c>
      <c r="C13" s="42" t="s">
        <v>41</v>
      </c>
      <c r="D13" s="6" t="s">
        <v>40</v>
      </c>
    </row>
    <row r="14" spans="1:4" x14ac:dyDescent="0.3">
      <c r="B14" s="74" t="s">
        <v>23</v>
      </c>
      <c r="C14" s="69">
        <v>7.5</v>
      </c>
      <c r="D14" s="70" t="s">
        <v>93</v>
      </c>
    </row>
    <row r="15" spans="1:4" x14ac:dyDescent="0.3">
      <c r="B15" s="74" t="s">
        <v>22</v>
      </c>
      <c r="C15" s="71">
        <v>25</v>
      </c>
      <c r="D15" s="70" t="s">
        <v>138</v>
      </c>
    </row>
    <row r="16" spans="1:4" x14ac:dyDescent="0.3">
      <c r="B16" s="74" t="s">
        <v>147</v>
      </c>
      <c r="C16" s="132">
        <v>0.5</v>
      </c>
      <c r="D16" s="70" t="s">
        <v>137</v>
      </c>
    </row>
    <row r="17" spans="1:4" x14ac:dyDescent="0.3">
      <c r="B17" s="74" t="s">
        <v>92</v>
      </c>
      <c r="C17" s="71">
        <v>2800</v>
      </c>
      <c r="D17" s="70" t="s">
        <v>139</v>
      </c>
    </row>
    <row r="18" spans="1:4" ht="16.8" thickBot="1" x14ac:dyDescent="0.35">
      <c r="B18" s="75" t="s">
        <v>55</v>
      </c>
      <c r="C18" s="72">
        <v>15</v>
      </c>
      <c r="D18" s="73" t="s">
        <v>42</v>
      </c>
    </row>
    <row r="19" spans="1:4" ht="15" thickTop="1" x14ac:dyDescent="0.3">
      <c r="B19" s="5" t="s">
        <v>28</v>
      </c>
      <c r="C19" s="8" t="s">
        <v>43</v>
      </c>
      <c r="D19" s="7" t="s">
        <v>46</v>
      </c>
    </row>
    <row r="21" spans="1:4" x14ac:dyDescent="0.3">
      <c r="A21" s="2">
        <v>2</v>
      </c>
      <c r="B21" s="2" t="s">
        <v>45</v>
      </c>
    </row>
    <row r="22" spans="1:4" ht="110.25" customHeight="1" x14ac:dyDescent="0.3">
      <c r="B22" s="94" t="s">
        <v>140</v>
      </c>
      <c r="C22" s="94"/>
      <c r="D22" s="94"/>
    </row>
    <row r="23" spans="1:4" x14ac:dyDescent="0.3">
      <c r="B23" s="9"/>
    </row>
  </sheetData>
  <mergeCells count="4">
    <mergeCell ref="B11:D11"/>
    <mergeCell ref="B22:D22"/>
    <mergeCell ref="B3:D3"/>
    <mergeCell ref="B4:D4"/>
  </mergeCells>
  <hyperlinks>
    <hyperlink ref="B4" r:id="rId1" display="https://www.cenex.co.uk/projects-case-studies/ultra-low-emission-waste-and-recycling-vehicles/" xr:uid="{0EBAD057-4745-4A9D-A9D3-AE3025FEA65B}"/>
    <hyperlink ref="B4:D4" r:id="rId2" display="Ultra-Low Emission Waste and Recycling Vehicles - Cenex" xr:uid="{C9CEE5AF-4E3B-4ABD-8116-2C3113FD9C6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88B6-8516-4F48-A11D-2C070922B324}">
  <dimension ref="B1:S30"/>
  <sheetViews>
    <sheetView showGridLines="0" zoomScale="85" zoomScaleNormal="85" workbookViewId="0">
      <selection activeCell="E26" sqref="E26"/>
    </sheetView>
  </sheetViews>
  <sheetFormatPr defaultRowHeight="14.4" x14ac:dyDescent="0.3"/>
  <cols>
    <col min="1" max="1" width="3.5546875" customWidth="1"/>
    <col min="2" max="2" width="30.5546875" customWidth="1"/>
    <col min="3" max="3" width="25.6640625" customWidth="1"/>
    <col min="4" max="4" width="17.33203125" customWidth="1"/>
    <col min="5" max="5" width="10.6640625" customWidth="1"/>
    <col min="6" max="6" width="3.33203125" customWidth="1"/>
    <col min="7" max="7" width="12.88671875" customWidth="1"/>
    <col min="9" max="9" width="9.109375" customWidth="1"/>
    <col min="10" max="10" width="9.33203125" customWidth="1"/>
    <col min="12" max="12" width="10.88671875" bestFit="1" customWidth="1"/>
    <col min="16" max="16" width="11.109375" bestFit="1" customWidth="1"/>
  </cols>
  <sheetData>
    <row r="1" spans="2:7" ht="15" thickBot="1" x14ac:dyDescent="0.35"/>
    <row r="2" spans="2:7" ht="16.2" thickBot="1" x14ac:dyDescent="0.35">
      <c r="B2" s="117" t="s">
        <v>143</v>
      </c>
      <c r="C2" s="118"/>
      <c r="D2" s="118"/>
      <c r="E2" s="119"/>
    </row>
    <row r="3" spans="2:7" ht="31.2" customHeight="1" thickBot="1" x14ac:dyDescent="0.5">
      <c r="B3" s="43" t="s">
        <v>95</v>
      </c>
      <c r="G3" s="43" t="s">
        <v>151</v>
      </c>
    </row>
    <row r="4" spans="2:7" ht="17.399999999999999" customHeight="1" x14ac:dyDescent="0.45">
      <c r="B4" s="125" t="s">
        <v>96</v>
      </c>
      <c r="C4" s="127" t="s">
        <v>68</v>
      </c>
      <c r="D4" s="128"/>
      <c r="E4" s="129"/>
      <c r="G4" s="43"/>
    </row>
    <row r="5" spans="2:7" ht="42" customHeight="1" thickBot="1" x14ac:dyDescent="0.35">
      <c r="B5" s="126"/>
      <c r="C5" s="130" t="s">
        <v>144</v>
      </c>
      <c r="D5" s="131"/>
      <c r="E5" s="77" t="s">
        <v>97</v>
      </c>
    </row>
    <row r="6" spans="2:7" x14ac:dyDescent="0.3">
      <c r="B6" s="103" t="s">
        <v>23</v>
      </c>
      <c r="C6" s="120"/>
      <c r="D6" s="120"/>
      <c r="E6" s="86">
        <v>5.8</v>
      </c>
      <c r="F6" s="76">
        <f>IF(OR(E6&lt;Backend!C4,E6&gt;Backend!D4),1,0)</f>
        <v>0</v>
      </c>
    </row>
    <row r="7" spans="2:7" x14ac:dyDescent="0.3">
      <c r="B7" s="105" t="s">
        <v>22</v>
      </c>
      <c r="C7" s="121"/>
      <c r="D7" s="122"/>
      <c r="E7" s="87">
        <v>26.7</v>
      </c>
      <c r="F7" s="76">
        <f>IF(OR(E7&lt;Backend!C5,E7&gt;Backend!D5),1,0)</f>
        <v>0</v>
      </c>
    </row>
    <row r="8" spans="2:7" x14ac:dyDescent="0.3">
      <c r="B8" s="78" t="s">
        <v>147</v>
      </c>
      <c r="C8" s="90" t="s">
        <v>149</v>
      </c>
      <c r="D8" s="92">
        <f>IF(C8="Custom",E8,VLOOKUP(C8,Dropdowns!G3:H5,2,FALSE))</f>
        <v>0.49305792888958899</v>
      </c>
      <c r="E8" s="93">
        <v>0.5</v>
      </c>
      <c r="F8" s="76">
        <f>IF(OR(E8&lt;Backend!C6,E8&gt;Backend!D6),1,0)</f>
        <v>0</v>
      </c>
    </row>
    <row r="9" spans="2:7" x14ac:dyDescent="0.3">
      <c r="B9" s="78" t="s">
        <v>92</v>
      </c>
      <c r="C9" s="90" t="s">
        <v>149</v>
      </c>
      <c r="D9" s="80">
        <f>IF(C9="Custom",E9,VLOOKUP(C9,Dropdowns!A3:B6,2,FALSE))</f>
        <v>2872</v>
      </c>
      <c r="E9" s="88">
        <v>2876</v>
      </c>
      <c r="F9" s="76">
        <f>IF(OR(E9&lt;Backend!C7,E9&gt;Backend!D7),1,0)</f>
        <v>0</v>
      </c>
    </row>
    <row r="10" spans="2:7" ht="16.8" thickBot="1" x14ac:dyDescent="0.35">
      <c r="B10" s="79" t="s">
        <v>55</v>
      </c>
      <c r="C10" s="91" t="s">
        <v>110</v>
      </c>
      <c r="D10" s="81">
        <f>IF(C10="Custom",E10,VLOOKUP(C10,Dropdowns!D3:E5,2,FALSE))</f>
        <v>9</v>
      </c>
      <c r="E10" s="89">
        <v>16</v>
      </c>
      <c r="F10" s="76">
        <f>IF(OR(E10&lt;Backend!C8,E10&gt;Backend!D8),1,0)</f>
        <v>0</v>
      </c>
    </row>
    <row r="11" spans="2:7" ht="28.95" customHeight="1" thickBot="1" x14ac:dyDescent="0.35">
      <c r="B11" s="113" t="str">
        <f>IF(SUM(F4:F10)&gt;0,"WARNING: One or more inputs outside of model training values. Model results may not be accurate.","")</f>
        <v/>
      </c>
      <c r="C11" s="113"/>
      <c r="D11" s="113"/>
      <c r="E11" s="113"/>
    </row>
    <row r="12" spans="2:7" ht="15" thickBot="1" x14ac:dyDescent="0.35">
      <c r="B12" s="114" t="s">
        <v>98</v>
      </c>
      <c r="C12" s="115"/>
      <c r="D12" s="116"/>
      <c r="E12" s="54" t="s">
        <v>47</v>
      </c>
      <c r="F12" s="52"/>
    </row>
    <row r="13" spans="2:7" x14ac:dyDescent="0.3">
      <c r="B13" s="123" t="s">
        <v>50</v>
      </c>
      <c r="C13" s="124"/>
      <c r="D13" s="124"/>
      <c r="E13" s="55">
        <v>0.15</v>
      </c>
      <c r="F13" s="53"/>
    </row>
    <row r="14" spans="2:7" ht="15" thickBot="1" x14ac:dyDescent="0.35">
      <c r="B14" s="99" t="s">
        <v>51</v>
      </c>
      <c r="C14" s="100"/>
      <c r="D14" s="100"/>
      <c r="E14" s="56">
        <v>16</v>
      </c>
      <c r="F14" s="53"/>
    </row>
    <row r="15" spans="2:7" x14ac:dyDescent="0.3">
      <c r="B15" s="2"/>
      <c r="C15" s="2"/>
      <c r="D15" s="2"/>
    </row>
    <row r="16" spans="2:7" ht="24" thickBot="1" x14ac:dyDescent="0.5">
      <c r="B16" s="43" t="s">
        <v>99</v>
      </c>
      <c r="C16" s="2"/>
      <c r="D16" s="2"/>
    </row>
    <row r="17" spans="2:19" ht="19.2" customHeight="1" thickBot="1" x14ac:dyDescent="0.35">
      <c r="B17" s="101" t="s">
        <v>100</v>
      </c>
      <c r="C17" s="102"/>
      <c r="D17" s="63" t="s">
        <v>26</v>
      </c>
      <c r="E17" s="44" t="s">
        <v>27</v>
      </c>
    </row>
    <row r="18" spans="2:19" x14ac:dyDescent="0.3">
      <c r="B18" s="103" t="s">
        <v>28</v>
      </c>
      <c r="C18" s="104"/>
      <c r="D18" s="64">
        <f>Backend!$J$12*$E$6</f>
        <v>128.92712671851092</v>
      </c>
      <c r="E18" s="45" t="str">
        <f>_xlfn.CONCAT(" ± ",ROUND(Backend!G16,0)," kWh")</f>
        <v xml:space="preserve"> ± 28 kWh</v>
      </c>
    </row>
    <row r="19" spans="2:19" x14ac:dyDescent="0.3">
      <c r="B19" s="105" t="s">
        <v>48</v>
      </c>
      <c r="C19" s="106"/>
      <c r="D19" s="65">
        <f>Backend!$O$19/D18*E7</f>
        <v>41.4187466665485</v>
      </c>
      <c r="E19" s="62" t="str">
        <f>_xlfn.CONCAT(" ± ",ROUND(Backend!$G$16/Backend!$O$19*$D$19,0)," miles")</f>
        <v xml:space="preserve"> ± 6 miles</v>
      </c>
    </row>
    <row r="20" spans="2:19" ht="15" thickBot="1" x14ac:dyDescent="0.35">
      <c r="B20" s="97" t="s">
        <v>134</v>
      </c>
      <c r="C20" s="98"/>
      <c r="D20" s="66">
        <f>Backend!$O$19/D18*E6</f>
        <v>8.9973307365536073</v>
      </c>
      <c r="E20" s="46" t="str">
        <f>_xlfn.CONCAT(" ± ",ROUND(Backend!$G$16/Backend!$O$19*$D$20,0)," hours")</f>
        <v xml:space="preserve"> ± 1 hours</v>
      </c>
    </row>
    <row r="21" spans="2:19" ht="15" thickBot="1" x14ac:dyDescent="0.35"/>
    <row r="22" spans="2:19" ht="19.95" customHeight="1" thickBot="1" x14ac:dyDescent="0.35">
      <c r="B22" s="107" t="s">
        <v>101</v>
      </c>
      <c r="C22" s="108"/>
      <c r="D22" s="47" t="s">
        <v>26</v>
      </c>
      <c r="E22" s="48" t="s">
        <v>27</v>
      </c>
      <c r="G22" s="113" t="s">
        <v>148</v>
      </c>
      <c r="H22" s="113"/>
      <c r="I22" s="113"/>
      <c r="J22" s="113"/>
      <c r="K22" s="113"/>
      <c r="L22" s="113"/>
      <c r="M22" s="113"/>
      <c r="N22" s="113"/>
      <c r="O22" s="113"/>
      <c r="P22" s="113"/>
      <c r="Q22" s="113"/>
      <c r="R22" s="113"/>
      <c r="S22" s="113"/>
    </row>
    <row r="23" spans="2:19" x14ac:dyDescent="0.3">
      <c r="B23" s="109" t="s">
        <v>54</v>
      </c>
      <c r="C23" s="110"/>
      <c r="D23" s="133">
        <f>D18/Backend!$G$17*$E$13</f>
        <v>22.228814951467402</v>
      </c>
      <c r="E23" s="49" t="str">
        <f>_xlfn.CONCAT(" ± £",MROUND(ROUND(Backend!$G$16,0)/Backend!$G$17*$E$13,0.01))</f>
        <v xml:space="preserve"> ± £4.83</v>
      </c>
      <c r="G23" s="113"/>
      <c r="H23" s="113"/>
      <c r="I23" s="113"/>
      <c r="J23" s="113"/>
      <c r="K23" s="113"/>
      <c r="L23" s="113"/>
      <c r="M23" s="113"/>
      <c r="N23" s="113"/>
      <c r="O23" s="113"/>
      <c r="P23" s="113"/>
      <c r="Q23" s="113"/>
      <c r="R23" s="113"/>
      <c r="S23" s="113"/>
    </row>
    <row r="24" spans="2:19" x14ac:dyDescent="0.3">
      <c r="B24" s="111" t="s">
        <v>116</v>
      </c>
      <c r="C24" s="112"/>
      <c r="D24" s="134">
        <f>D18/Backend!$G$17/44</f>
        <v>3.3680022653738488</v>
      </c>
      <c r="E24" s="50" t="str">
        <f>_xlfn.CONCAT(" ± ",MROUND(ROUND(Backend!$G$16,0)/Backend!$G$17/44,0.1)," hours")</f>
        <v xml:space="preserve"> ± 0.7 hours</v>
      </c>
      <c r="G24" t="s">
        <v>150</v>
      </c>
    </row>
    <row r="25" spans="2:19" ht="15" thickBot="1" x14ac:dyDescent="0.35">
      <c r="B25" s="97" t="s">
        <v>52</v>
      </c>
      <c r="C25" s="98"/>
      <c r="D25" s="135">
        <f>D18/Backend!$G$17/$E$14</f>
        <v>9.2620062297780841</v>
      </c>
      <c r="E25" s="51" t="str">
        <f>_xlfn.CONCAT(" ± ",MROUND(ROUND(Backend!$G$16,0)/Backend!$G$17/E$14,0.1)," kW")</f>
        <v xml:space="preserve"> ± 2 kW</v>
      </c>
    </row>
    <row r="27" spans="2:19" ht="23.4" x14ac:dyDescent="0.45">
      <c r="B27" s="43" t="s">
        <v>145</v>
      </c>
    </row>
    <row r="28" spans="2:19" ht="15" thickBot="1" x14ac:dyDescent="0.35">
      <c r="B28" s="2" t="s">
        <v>57</v>
      </c>
    </row>
    <row r="29" spans="2:19" ht="15" thickBot="1" x14ac:dyDescent="0.35">
      <c r="B29" s="82" t="s">
        <v>47</v>
      </c>
      <c r="C29" s="83" t="s">
        <v>59</v>
      </c>
    </row>
    <row r="30" spans="2:19" ht="15" thickBot="1" x14ac:dyDescent="0.35">
      <c r="B30" s="84" t="s">
        <v>58</v>
      </c>
      <c r="C30" s="85" t="s">
        <v>60</v>
      </c>
    </row>
  </sheetData>
  <sheetProtection algorithmName="SHA-512" hashValue="ASoeCu/855pLTNf7val/3GQJdn30NgE2FhHvkfwhIrxwjTBcCgFTRFL7FqWjmtTG9zm1CSA8vksCvB4Rl0XR7A==" saltValue="313N1mMIFA77H1UGy+C6Cg==" spinCount="100000" sheet="1" objects="1" scenarios="1"/>
  <mergeCells count="19">
    <mergeCell ref="B11:E11"/>
    <mergeCell ref="B12:D12"/>
    <mergeCell ref="G22:S23"/>
    <mergeCell ref="B2:E2"/>
    <mergeCell ref="B6:D6"/>
    <mergeCell ref="B7:D7"/>
    <mergeCell ref="B13:D13"/>
    <mergeCell ref="B4:B5"/>
    <mergeCell ref="C4:E4"/>
    <mergeCell ref="C5:D5"/>
    <mergeCell ref="B25:C25"/>
    <mergeCell ref="B14:D14"/>
    <mergeCell ref="B17:C17"/>
    <mergeCell ref="B18:C18"/>
    <mergeCell ref="B19:C19"/>
    <mergeCell ref="B22:C22"/>
    <mergeCell ref="B23:C23"/>
    <mergeCell ref="B20:C20"/>
    <mergeCell ref="B24:C24"/>
  </mergeCells>
  <phoneticPr fontId="1" type="noConversion"/>
  <conditionalFormatting sqref="D8:D10">
    <cfRule type="expression" dxfId="2" priority="3">
      <formula>IF($C8="Custom",TRUE,FALSE)</formula>
    </cfRule>
  </conditionalFormatting>
  <conditionalFormatting sqref="E6:E10">
    <cfRule type="expression" dxfId="1" priority="1">
      <formula>IF($F6&gt;0,1,0)</formula>
    </cfRule>
  </conditionalFormatting>
  <conditionalFormatting sqref="E8:E10">
    <cfRule type="expression" dxfId="0" priority="2">
      <formula>IF($C8&lt;&gt;"Custom",TRUE,FALSE)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D0A6604-4330-4F3E-852C-13A1B95539FE}">
          <x14:formula1>
            <xm:f>Dropdowns!$D$2:$D$5</xm:f>
          </x14:formula1>
          <xm:sqref>C10</xm:sqref>
        </x14:dataValidation>
        <x14:dataValidation type="list" allowBlank="1" showInputMessage="1" showErrorMessage="1" xr:uid="{C8FE5586-B44D-447C-AA9E-D10B62C7ED04}">
          <x14:formula1>
            <xm:f>Dropdowns!$G$2:$G$5</xm:f>
          </x14:formula1>
          <xm:sqref>C8</xm:sqref>
        </x14:dataValidation>
        <x14:dataValidation type="list" allowBlank="1" showInputMessage="1" showErrorMessage="1" xr:uid="{DDA4D6D5-1FCE-4B69-B2E4-284F4B970CE2}">
          <x14:formula1>
            <xm:f>Dropdowns!$A$2:$A$6</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766F-ED04-43B4-9490-EFF99AC7E5A3}">
  <dimension ref="B2:Z48"/>
  <sheetViews>
    <sheetView topLeftCell="F1" workbookViewId="0">
      <selection activeCell="N40" sqref="N40"/>
    </sheetView>
  </sheetViews>
  <sheetFormatPr defaultRowHeight="14.4" x14ac:dyDescent="0.3"/>
  <cols>
    <col min="2" max="2" width="22.109375" bestFit="1" customWidth="1"/>
    <col min="3" max="3" width="12" bestFit="1" customWidth="1"/>
    <col min="6" max="6" width="26.5546875" bestFit="1" customWidth="1"/>
    <col min="7" max="7" width="11.6640625" customWidth="1"/>
    <col min="8" max="8" width="9.5546875" bestFit="1" customWidth="1"/>
    <col min="9" max="9" width="11.5546875" bestFit="1" customWidth="1"/>
    <col min="11" max="11" width="11.6640625" bestFit="1" customWidth="1"/>
  </cols>
  <sheetData>
    <row r="2" spans="2:26" s="22" customFormat="1" ht="18" x14ac:dyDescent="0.35">
      <c r="B2" s="22" t="s">
        <v>65</v>
      </c>
      <c r="F2" s="22" t="s">
        <v>66</v>
      </c>
      <c r="N2" s="22" t="s">
        <v>67</v>
      </c>
    </row>
    <row r="3" spans="2:26" ht="15" thickBot="1" x14ac:dyDescent="0.35">
      <c r="C3" t="s">
        <v>24</v>
      </c>
      <c r="D3" t="s">
        <v>25</v>
      </c>
      <c r="G3" t="s">
        <v>36</v>
      </c>
      <c r="H3" t="s">
        <v>61</v>
      </c>
      <c r="I3" t="s">
        <v>62</v>
      </c>
      <c r="K3" t="s">
        <v>35</v>
      </c>
      <c r="O3" t="s">
        <v>2</v>
      </c>
      <c r="P3" t="s">
        <v>3</v>
      </c>
      <c r="Q3" t="s">
        <v>4</v>
      </c>
      <c r="R3" t="s">
        <v>5</v>
      </c>
      <c r="S3" t="s">
        <v>6</v>
      </c>
      <c r="T3" t="s">
        <v>7</v>
      </c>
      <c r="U3" t="s">
        <v>8</v>
      </c>
      <c r="V3" t="s">
        <v>9</v>
      </c>
      <c r="W3" t="s">
        <v>10</v>
      </c>
      <c r="X3" t="s">
        <v>11</v>
      </c>
      <c r="Y3" t="s">
        <v>12</v>
      </c>
      <c r="Z3" t="s">
        <v>13</v>
      </c>
    </row>
    <row r="4" spans="2:26" ht="15" thickBot="1" x14ac:dyDescent="0.35">
      <c r="B4" s="3" t="s">
        <v>23</v>
      </c>
      <c r="C4" s="11">
        <v>1.1286111109999999</v>
      </c>
      <c r="D4" s="11">
        <v>18.32111111</v>
      </c>
      <c r="F4" t="s">
        <v>20</v>
      </c>
      <c r="G4" s="1">
        <f>Calculator!E7/Calculator!$E$6</f>
        <v>4.6034482758620694</v>
      </c>
      <c r="H4" s="21">
        <v>5.8396374628452303</v>
      </c>
      <c r="I4" s="21">
        <v>8.3675302842394501</v>
      </c>
      <c r="J4" s="20">
        <f>(G4-H4)/SQRT(I4)</f>
        <v>-0.42735254441165305</v>
      </c>
      <c r="K4" s="10">
        <v>0.75183477676920596</v>
      </c>
      <c r="L4" s="15"/>
      <c r="M4" s="16"/>
      <c r="N4" t="s">
        <v>14</v>
      </c>
      <c r="O4" s="12">
        <v>7</v>
      </c>
      <c r="P4" s="12">
        <v>7</v>
      </c>
      <c r="Q4" s="12">
        <v>9</v>
      </c>
      <c r="R4" s="12">
        <v>11</v>
      </c>
      <c r="S4" s="12">
        <v>15</v>
      </c>
      <c r="T4" s="12">
        <v>17</v>
      </c>
      <c r="U4" s="12">
        <v>19</v>
      </c>
      <c r="V4" s="12">
        <v>19</v>
      </c>
      <c r="W4" s="12">
        <v>16</v>
      </c>
      <c r="X4" s="12">
        <v>13</v>
      </c>
      <c r="Y4" s="12">
        <v>9</v>
      </c>
      <c r="Z4" s="12">
        <v>7</v>
      </c>
    </row>
    <row r="5" spans="2:26" ht="15" thickBot="1" x14ac:dyDescent="0.35">
      <c r="B5" s="4" t="s">
        <v>22</v>
      </c>
      <c r="C5" s="11">
        <v>4.5391165429999996</v>
      </c>
      <c r="D5" s="11">
        <v>96.663609170000001</v>
      </c>
      <c r="F5" t="s">
        <v>19</v>
      </c>
      <c r="G5" s="1">
        <f>G4^2</f>
        <v>21.191736028537459</v>
      </c>
      <c r="H5" s="21">
        <v>42.468895981705003</v>
      </c>
      <c r="I5" s="21">
        <v>3477.8736687091</v>
      </c>
      <c r="J5" s="20">
        <f t="shared" ref="J5:J7" si="0">(G5-H5)/SQRT(I5)</f>
        <v>-0.36079188204476392</v>
      </c>
      <c r="K5" s="10">
        <v>-2.1833924057617901E-2</v>
      </c>
      <c r="L5" s="15"/>
      <c r="M5" s="16"/>
      <c r="N5" t="s">
        <v>37</v>
      </c>
      <c r="O5" s="12">
        <f t="shared" ref="O5:Z5" si="1">(O4+O6)/2</f>
        <v>4</v>
      </c>
      <c r="P5" s="12">
        <f t="shared" si="1"/>
        <v>4</v>
      </c>
      <c r="Q5" s="12">
        <f t="shared" si="1"/>
        <v>5.5</v>
      </c>
      <c r="R5" s="12">
        <f t="shared" si="1"/>
        <v>7</v>
      </c>
      <c r="S5" s="12">
        <f t="shared" si="1"/>
        <v>10.5</v>
      </c>
      <c r="T5" s="12">
        <f t="shared" si="1"/>
        <v>13</v>
      </c>
      <c r="U5" s="12">
        <f t="shared" si="1"/>
        <v>15</v>
      </c>
      <c r="V5" s="12">
        <f t="shared" si="1"/>
        <v>15</v>
      </c>
      <c r="W5" s="12">
        <f t="shared" si="1"/>
        <v>12.5</v>
      </c>
      <c r="X5" s="12">
        <f t="shared" si="1"/>
        <v>10</v>
      </c>
      <c r="Y5" s="12">
        <f t="shared" si="1"/>
        <v>6.5</v>
      </c>
      <c r="Z5" s="12">
        <f t="shared" si="1"/>
        <v>4.5</v>
      </c>
    </row>
    <row r="6" spans="2:26" ht="15" thickBot="1" x14ac:dyDescent="0.35">
      <c r="B6" s="4" t="s">
        <v>69</v>
      </c>
      <c r="C6" s="11">
        <v>3.09465769346975E-2</v>
      </c>
      <c r="D6" s="11">
        <v>0.88803282832433195</v>
      </c>
      <c r="F6" t="s">
        <v>1</v>
      </c>
      <c r="G6" s="1">
        <f>Calculator!D10</f>
        <v>9</v>
      </c>
      <c r="H6" s="21">
        <v>12.7816844666565</v>
      </c>
      <c r="I6" s="21">
        <v>26.7442739543912</v>
      </c>
      <c r="J6" s="20">
        <f t="shared" si="0"/>
        <v>-0.73125674258097273</v>
      </c>
      <c r="K6" s="10">
        <v>0</v>
      </c>
      <c r="L6" s="15"/>
      <c r="M6" s="16"/>
      <c r="N6" t="s">
        <v>15</v>
      </c>
      <c r="O6" s="12">
        <v>1</v>
      </c>
      <c r="P6" s="12">
        <v>1</v>
      </c>
      <c r="Q6" s="12">
        <v>2</v>
      </c>
      <c r="R6" s="12">
        <v>3</v>
      </c>
      <c r="S6" s="12">
        <v>6</v>
      </c>
      <c r="T6" s="12">
        <v>9</v>
      </c>
      <c r="U6" s="12">
        <v>11</v>
      </c>
      <c r="V6" s="12">
        <v>11</v>
      </c>
      <c r="W6" s="12">
        <v>9</v>
      </c>
      <c r="X6" s="12">
        <v>7</v>
      </c>
      <c r="Y6" s="12">
        <v>4</v>
      </c>
      <c r="Z6" s="12">
        <v>2</v>
      </c>
    </row>
    <row r="7" spans="2:26" ht="15" thickBot="1" x14ac:dyDescent="0.35">
      <c r="B7" s="4" t="s">
        <v>73</v>
      </c>
      <c r="C7" s="11">
        <v>119</v>
      </c>
      <c r="D7" s="11">
        <v>3620</v>
      </c>
      <c r="F7" t="s">
        <v>21</v>
      </c>
      <c r="G7" s="1">
        <f>G6^2</f>
        <v>81</v>
      </c>
      <c r="H7" s="21">
        <v>190.11573175955999</v>
      </c>
      <c r="I7" s="21">
        <v>20031.601966263901</v>
      </c>
      <c r="J7" s="20">
        <f t="shared" si="0"/>
        <v>-0.77095588598249831</v>
      </c>
      <c r="K7" s="10">
        <v>-8.0027559890269606E-2</v>
      </c>
      <c r="L7" s="15"/>
      <c r="M7" s="16"/>
    </row>
    <row r="8" spans="2:26" ht="16.8" thickBot="1" x14ac:dyDescent="0.35">
      <c r="B8" s="5" t="s">
        <v>55</v>
      </c>
      <c r="C8" s="11">
        <v>1.5</v>
      </c>
      <c r="D8" s="11">
        <v>29.52</v>
      </c>
      <c r="F8" t="s">
        <v>70</v>
      </c>
      <c r="G8" s="59">
        <f>Calculator!D8</f>
        <v>0.49305792888958899</v>
      </c>
      <c r="H8" s="21">
        <v>0.47810930329998402</v>
      </c>
      <c r="I8" s="21">
        <v>2.7450923430111199E-2</v>
      </c>
      <c r="J8" s="20">
        <f>(G8-H8)/SQRT(I8)</f>
        <v>9.0224147093716192E-2</v>
      </c>
      <c r="K8" s="10">
        <v>0</v>
      </c>
      <c r="L8" s="15"/>
      <c r="M8" s="16"/>
      <c r="N8" t="s">
        <v>30</v>
      </c>
      <c r="O8" s="13">
        <f t="shared" ref="O8:Z8" si="2">O9-$G$16</f>
        <v>101.29408742351316</v>
      </c>
      <c r="P8" s="13">
        <f t="shared" si="2"/>
        <v>101.29408742351316</v>
      </c>
      <c r="Q8" s="13">
        <f t="shared" si="2"/>
        <v>100.60143620524943</v>
      </c>
      <c r="R8" s="13">
        <f t="shared" si="2"/>
        <v>99.735622182419746</v>
      </c>
      <c r="S8" s="13">
        <f t="shared" si="2"/>
        <v>97.484505723062554</v>
      </c>
      <c r="T8" s="13">
        <f t="shared" si="2"/>
        <v>96.099203286535086</v>
      </c>
      <c r="U8" s="13">
        <f t="shared" si="2"/>
        <v>94.540738045441657</v>
      </c>
      <c r="V8" s="13">
        <f t="shared" si="2"/>
        <v>94.540738045441657</v>
      </c>
      <c r="W8" s="13">
        <f t="shared" si="2"/>
        <v>96.813499855369571</v>
      </c>
      <c r="X8" s="13">
        <f t="shared" si="2"/>
        <v>98.696645355024131</v>
      </c>
      <c r="Y8" s="13">
        <f t="shared" si="2"/>
        <v>100.60143620524943</v>
      </c>
      <c r="Z8" s="13">
        <f t="shared" si="2"/>
        <v>101.29408742351316</v>
      </c>
    </row>
    <row r="9" spans="2:26" ht="15" thickBot="1" x14ac:dyDescent="0.35">
      <c r="C9" s="23"/>
      <c r="D9" s="23"/>
      <c r="F9" t="s">
        <v>133</v>
      </c>
      <c r="G9" s="60">
        <f>G8^2</f>
        <v>0.24310612124089098</v>
      </c>
      <c r="H9" s="21">
        <v>0.25603942933210699</v>
      </c>
      <c r="I9" s="21">
        <v>2.22218311681678E-2</v>
      </c>
      <c r="J9" s="20">
        <f>(G9-H9)/SQRT(I9)</f>
        <v>-8.6760031577977029E-2</v>
      </c>
      <c r="K9" s="10">
        <v>0.38532610419360702</v>
      </c>
      <c r="L9" s="15"/>
      <c r="M9" s="16"/>
      <c r="N9" t="s">
        <v>16</v>
      </c>
      <c r="O9" s="13">
        <f>((SUMPRODUCT($J$4:$J$5,$K$4:$K$5)+$K$6*(O4-$H$6)/SQRT($I$6)+$K$7*(O4^2-$H$7)/SQRT($I$7)+SUMPRODUCT($J$8:$J$10,$K$8:$K$10)+$K$11)*SQRT($I$12)+$H$12)*Calculator!$E$6</f>
        <v>129.61977793677465</v>
      </c>
      <c r="P9" s="13">
        <f>((SUMPRODUCT($J$4:$J$5,$K$4:$K$5)+$K$6*(P4-$H$6)/SQRT($I$6)+$K$7*(P4^2-$H$7)/SQRT($I$7)+SUMPRODUCT($J$8:$J$10,$K$8:$K$10)+$K$11)*SQRT($I$12)+$H$12)*Calculator!$E$6</f>
        <v>129.61977793677465</v>
      </c>
      <c r="Q9" s="13">
        <f>((SUMPRODUCT($J$4:$J$5,$K$4:$K$5)+$K$6*(Q4-$H$6)/SQRT($I$6)+$K$7*(Q4^2-$H$7)/SQRT($I$7)+SUMPRODUCT($J$8:$J$10,$K$8:$K$10)+$K$11)*SQRT($I$12)+$H$12)*Calculator!$E$6</f>
        <v>128.92712671851092</v>
      </c>
      <c r="R9" s="13">
        <f>((SUMPRODUCT($J$4:$J$5,$K$4:$K$5)+$K$6*(R4-$H$6)/SQRT($I$6)+$K$7*(R4^2-$H$7)/SQRT($I$7)+SUMPRODUCT($J$8:$J$10,$K$8:$K$10)+$K$11)*SQRT($I$12)+$H$12)*Calculator!$E$6</f>
        <v>128.06131269568124</v>
      </c>
      <c r="S9" s="13">
        <f>((SUMPRODUCT($J$4:$J$5,$K$4:$K$5)+$K$6*(S4-$H$6)/SQRT($I$6)+$K$7*(S4^2-$H$7)/SQRT($I$7)+SUMPRODUCT($J$8:$J$10,$K$8:$K$10)+$K$11)*SQRT($I$12)+$H$12)*Calculator!$E$6</f>
        <v>125.81019623632405</v>
      </c>
      <c r="T9" s="13">
        <f>((SUMPRODUCT($J$4:$J$5,$K$4:$K$5)+$K$6*(T4-$H$6)/SQRT($I$6)+$K$7*(T4^2-$H$7)/SQRT($I$7)+SUMPRODUCT($J$8:$J$10,$K$8:$K$10)+$K$11)*SQRT($I$12)+$H$12)*Calculator!$E$6</f>
        <v>124.42489379979658</v>
      </c>
      <c r="U9" s="13">
        <f>((SUMPRODUCT($J$4:$J$5,$K$4:$K$5)+$K$6*(U4-$H$6)/SQRT($I$6)+$K$7*(U4^2-$H$7)/SQRT($I$7)+SUMPRODUCT($J$8:$J$10,$K$8:$K$10)+$K$11)*SQRT($I$12)+$H$12)*Calculator!$E$6</f>
        <v>122.86642855870315</v>
      </c>
      <c r="V9" s="13">
        <f>((SUMPRODUCT($J$4:$J$5,$K$4:$K$5)+$K$6*(V4-$H$6)/SQRT($I$6)+$K$7*(V4^2-$H$7)/SQRT($I$7)+SUMPRODUCT($J$8:$J$10,$K$8:$K$10)+$K$11)*SQRT($I$12)+$H$12)*Calculator!$E$6</f>
        <v>122.86642855870315</v>
      </c>
      <c r="W9" s="13">
        <f>((SUMPRODUCT($J$4:$J$5,$K$4:$K$5)+$K$6*(W4-$H$6)/SQRT($I$6)+$K$7*(W4^2-$H$7)/SQRT($I$7)+SUMPRODUCT($J$8:$J$10,$K$8:$K$10)+$K$11)*SQRT($I$12)+$H$12)*Calculator!$E$6</f>
        <v>125.13919036863106</v>
      </c>
      <c r="X9" s="13">
        <f>((SUMPRODUCT($J$4:$J$5,$K$4:$K$5)+$K$6*(X4-$H$6)/SQRT($I$6)+$K$7*(X4^2-$H$7)/SQRT($I$7)+SUMPRODUCT($J$8:$J$10,$K$8:$K$10)+$K$11)*SQRT($I$12)+$H$12)*Calculator!$E$6</f>
        <v>127.02233586828562</v>
      </c>
      <c r="Y9" s="13">
        <f>((SUMPRODUCT($J$4:$J$5,$K$4:$K$5)+$K$6*(Y4-$H$6)/SQRT($I$6)+$K$7*(Y4^2-$H$7)/SQRT($I$7)+SUMPRODUCT($J$8:$J$10,$K$8:$K$10)+$K$11)*SQRT($I$12)+$H$12)*Calculator!$E$6</f>
        <v>128.92712671851092</v>
      </c>
      <c r="Z9" s="13">
        <f>((SUMPRODUCT($J$4:$J$5,$K$4:$K$5)+$K$6*(Z4-$H$6)/SQRT($I$6)+$K$7*(Z4^2-$H$7)/SQRT($I$7)+SUMPRODUCT($J$8:$J$10,$K$8:$K$10)+$K$11)*SQRT($I$12)+$H$12)*Calculator!$E$6</f>
        <v>129.61977793677465</v>
      </c>
    </row>
    <row r="10" spans="2:26" ht="15" thickBot="1" x14ac:dyDescent="0.35">
      <c r="F10" t="s">
        <v>74</v>
      </c>
      <c r="G10" s="61">
        <f>Calculator!D9</f>
        <v>2872</v>
      </c>
      <c r="H10" s="21">
        <v>2301.4952561669802</v>
      </c>
      <c r="I10" s="21">
        <v>284934.25661886198</v>
      </c>
      <c r="J10" s="20">
        <f>(G10-H10)/SQRT(I10)</f>
        <v>1.0687765760428711</v>
      </c>
      <c r="K10" s="10">
        <v>0.43723595450243802</v>
      </c>
      <c r="L10" s="15"/>
      <c r="M10" s="16"/>
      <c r="N10" t="s">
        <v>38</v>
      </c>
      <c r="O10" s="13">
        <f>((SUMPRODUCT($J$4:$J$5,$K$4:$K$5)+$K$6*(O5-$H$6)/SQRT($I$6)+$K$7*(O5^2-$H$7)/SQRT($I$7)+SUMPRODUCT($J$8:$J$10,$K$8:$K$10)+$K$11)*SQRT($I$12)+$H$12)*Calculator!$E$6</f>
        <v>130.33407450560915</v>
      </c>
      <c r="P10" s="13">
        <f>((SUMPRODUCT($J$4:$J$5,$K$4:$K$5)+$K$6*(P5-$H$6)/SQRT($I$6)+$K$7*(P5^2-$H$7)/SQRT($I$7)+SUMPRODUCT($J$8:$J$10,$K$8:$K$10)+$K$11)*SQRT($I$12)+$H$12)*Calculator!$E$6</f>
        <v>130.33407450560915</v>
      </c>
      <c r="Q10" s="13">
        <f>((SUMPRODUCT($J$4:$J$5,$K$4:$K$5)+$K$6*(Q5-$H$6)/SQRT($I$6)+$K$7*(Q5^2-$H$7)/SQRT($I$7)+SUMPRODUCT($J$8:$J$10,$K$8:$K$10)+$K$11)*SQRT($I$12)+$H$12)*Calculator!$E$6</f>
        <v>130.02562825997606</v>
      </c>
      <c r="R10" s="13">
        <f>((SUMPRODUCT($J$4:$J$5,$K$4:$K$5)+$K$6*(R5-$H$6)/SQRT($I$6)+$K$7*(R5^2-$H$7)/SQRT($I$7)+SUMPRODUCT($J$8:$J$10,$K$8:$K$10)+$K$11)*SQRT($I$12)+$H$12)*Calculator!$E$6</f>
        <v>129.61977793677465</v>
      </c>
      <c r="S10" s="13">
        <f>((SUMPRODUCT($J$4:$J$5,$K$4:$K$5)+$K$6*(S5-$H$6)/SQRT($I$6)+$K$7*(S5^2-$H$7)/SQRT($I$7)+SUMPRODUCT($J$8:$J$10,$K$8:$K$10)+$K$11)*SQRT($I$12)+$H$12)*Calculator!$E$6</f>
        <v>128.2940002143167</v>
      </c>
      <c r="T10" s="13">
        <f>((SUMPRODUCT($J$4:$J$5,$K$4:$K$5)+$K$6*(T5-$H$6)/SQRT($I$6)+$K$7*(T5^2-$H$7)/SQRT($I$7)+SUMPRODUCT($J$8:$J$10,$K$8:$K$10)+$K$11)*SQRT($I$12)+$H$12)*Calculator!$E$6</f>
        <v>127.02233586828562</v>
      </c>
      <c r="U10" s="13">
        <f>((SUMPRODUCT($J$4:$J$5,$K$4:$K$5)+$K$6*(U5-$H$6)/SQRT($I$6)+$K$7*(U5^2-$H$7)/SQRT($I$7)+SUMPRODUCT($J$8:$J$10,$K$8:$K$10)+$K$11)*SQRT($I$12)+$H$12)*Calculator!$E$6</f>
        <v>125.81019623632405</v>
      </c>
      <c r="V10" s="13">
        <f>((SUMPRODUCT($J$4:$J$5,$K$4:$K$5)+$K$6*(V5-$H$6)/SQRT($I$6)+$K$7*(V5^2-$H$7)/SQRT($I$7)+SUMPRODUCT($J$8:$J$10,$K$8:$K$10)+$K$11)*SQRT($I$12)+$H$12)*Calculator!$E$6</f>
        <v>125.81019623632405</v>
      </c>
      <c r="W10" s="13">
        <f>((SUMPRODUCT($J$4:$J$5,$K$4:$K$5)+$K$6*(W5-$H$6)/SQRT($I$6)+$K$7*(W5^2-$H$7)/SQRT($I$7)+SUMPRODUCT($J$8:$J$10,$K$8:$K$10)+$K$11)*SQRT($I$12)+$H$12)*Calculator!$E$6</f>
        <v>127.29831408806257</v>
      </c>
      <c r="X10" s="13">
        <f>((SUMPRODUCT($J$4:$J$5,$K$4:$K$5)+$K$6*(X5-$H$6)/SQRT($I$6)+$K$7*(X5^2-$H$7)/SQRT($I$7)+SUMPRODUCT($J$8:$J$10,$K$8:$K$10)+$K$11)*SQRT($I$12)+$H$12)*Calculator!$E$6</f>
        <v>128.51586505766682</v>
      </c>
      <c r="Y10" s="13">
        <f>((SUMPRODUCT($J$4:$J$5,$K$4:$K$5)+$K$6*(Y5-$H$6)/SQRT($I$6)+$K$7*(Y5^2-$H$7)/SQRT($I$7)+SUMPRODUCT($J$8:$J$10,$K$8:$K$10)+$K$11)*SQRT($I$12)+$H$12)*Calculator!$E$6</f>
        <v>129.76588405312717</v>
      </c>
      <c r="Z10" s="13">
        <f>((SUMPRODUCT($J$4:$J$5,$K$4:$K$5)+$K$6*(Z5-$H$6)/SQRT($I$6)+$K$7*(Z5^2-$H$7)/SQRT($I$7)+SUMPRODUCT($J$8:$J$10,$K$8:$K$10)+$K$11)*SQRT($I$12)+$H$12)*Calculator!$E$6</f>
        <v>130.24208176568348</v>
      </c>
    </row>
    <row r="11" spans="2:26" ht="15" thickBot="1" x14ac:dyDescent="0.35">
      <c r="F11" t="s">
        <v>0</v>
      </c>
      <c r="K11" s="10">
        <v>1.2274976933695199E-2</v>
      </c>
      <c r="L11" s="15"/>
      <c r="M11" s="16"/>
      <c r="N11" t="s">
        <v>17</v>
      </c>
      <c r="O11" s="13">
        <f>((SUMPRODUCT($J$4:$J$5,$K$4:$K$5)+$K$6*(O6-$H$6)/SQRT($I$6)+$K$7*(O6^2-$H$7)/SQRT($I$7)+SUMPRODUCT($J$8:$J$10,$K$8:$K$10)+$K$11)*SQRT($I$12)+$H$12)*Calculator!$E$6</f>
        <v>130.65875476417028</v>
      </c>
      <c r="P11" s="13">
        <f>((SUMPRODUCT($J$4:$J$5,$K$4:$K$5)+$K$6*(P6-$H$6)/SQRT($I$6)+$K$7*(P6^2-$H$7)/SQRT($I$7)+SUMPRODUCT($J$8:$J$10,$K$8:$K$10)+$K$11)*SQRT($I$12)+$H$12)*Calculator!$E$6</f>
        <v>130.65875476417028</v>
      </c>
      <c r="Q11" s="13">
        <f>((SUMPRODUCT($J$4:$J$5,$K$4:$K$5)+$K$6*(Q6-$H$6)/SQRT($I$6)+$K$7*(Q6^2-$H$7)/SQRT($I$7)+SUMPRODUCT($J$8:$J$10,$K$8:$K$10)+$K$11)*SQRT($I$12)+$H$12)*Calculator!$E$6</f>
        <v>130.59381871245805</v>
      </c>
      <c r="R11" s="13">
        <f>((SUMPRODUCT($J$4:$J$5,$K$4:$K$5)+$K$6*(R6-$H$6)/SQRT($I$6)+$K$7*(R6^2-$H$7)/SQRT($I$7)+SUMPRODUCT($J$8:$J$10,$K$8:$K$10)+$K$11)*SQRT($I$12)+$H$12)*Calculator!$E$6</f>
        <v>130.48559195960433</v>
      </c>
      <c r="S11" s="13">
        <f>((SUMPRODUCT($J$4:$J$5,$K$4:$K$5)+$K$6*(S6-$H$6)/SQRT($I$6)+$K$7*(S6^2-$H$7)/SQRT($I$7)+SUMPRODUCT($J$8:$J$10,$K$8:$K$10)+$K$11)*SQRT($I$12)+$H$12)*Calculator!$E$6</f>
        <v>129.90116749419431</v>
      </c>
      <c r="T11" s="13">
        <f>((SUMPRODUCT($J$4:$J$5,$K$4:$K$5)+$K$6*(T6-$H$6)/SQRT($I$6)+$K$7*(T6^2-$H$7)/SQRT($I$7)+SUMPRODUCT($J$8:$J$10,$K$8:$K$10)+$K$11)*SQRT($I$12)+$H$12)*Calculator!$E$6</f>
        <v>128.92712671851092</v>
      </c>
      <c r="U11" s="13">
        <f>((SUMPRODUCT($J$4:$J$5,$K$4:$K$5)+$K$6*(U6-$H$6)/SQRT($I$6)+$K$7*(U6^2-$H$7)/SQRT($I$7)+SUMPRODUCT($J$8:$J$10,$K$8:$K$10)+$K$11)*SQRT($I$12)+$H$12)*Calculator!$E$6</f>
        <v>128.06131269568124</v>
      </c>
      <c r="V11" s="13">
        <f>((SUMPRODUCT($J$4:$J$5,$K$4:$K$5)+$K$6*(V6-$H$6)/SQRT($I$6)+$K$7*(V6^2-$H$7)/SQRT($I$7)+SUMPRODUCT($J$8:$J$10,$K$8:$K$10)+$K$11)*SQRT($I$12)+$H$12)*Calculator!$E$6</f>
        <v>128.06131269568124</v>
      </c>
      <c r="W11" s="13">
        <f>((SUMPRODUCT($J$4:$J$5,$K$4:$K$5)+$K$6*(W6-$H$6)/SQRT($I$6)+$K$7*(W6^2-$H$7)/SQRT($I$7)+SUMPRODUCT($J$8:$J$10,$K$8:$K$10)+$K$11)*SQRT($I$12)+$H$12)*Calculator!$E$6</f>
        <v>128.92712671851092</v>
      </c>
      <c r="X11" s="13">
        <f>((SUMPRODUCT($J$4:$J$5,$K$4:$K$5)+$K$6*(X6-$H$6)/SQRT($I$6)+$K$7*(X6^2-$H$7)/SQRT($I$7)+SUMPRODUCT($J$8:$J$10,$K$8:$K$10)+$K$11)*SQRT($I$12)+$H$12)*Calculator!$E$6</f>
        <v>129.61977793677465</v>
      </c>
      <c r="Y11" s="13">
        <f>((SUMPRODUCT($J$4:$J$5,$K$4:$K$5)+$K$6*(Y6-$H$6)/SQRT($I$6)+$K$7*(Y6^2-$H$7)/SQRT($I$7)+SUMPRODUCT($J$8:$J$10,$K$8:$K$10)+$K$11)*SQRT($I$12)+$H$12)*Calculator!$E$6</f>
        <v>130.33407450560915</v>
      </c>
      <c r="Z11" s="13">
        <f>((SUMPRODUCT($J$4:$J$5,$K$4:$K$5)+$K$6*(Z6-$H$6)/SQRT($I$6)+$K$7*(Z6^2-$H$7)/SQRT($I$7)+SUMPRODUCT($J$8:$J$10,$K$8:$K$10)+$K$11)*SQRT($I$12)+$H$12)*Calculator!$E$6</f>
        <v>130.59381871245805</v>
      </c>
    </row>
    <row r="12" spans="2:26" ht="15" thickBot="1" x14ac:dyDescent="0.35">
      <c r="F12" t="s">
        <v>18</v>
      </c>
      <c r="H12" s="19">
        <v>20.945555557281001</v>
      </c>
      <c r="I12" s="19">
        <v>43.562198832744201</v>
      </c>
      <c r="J12" s="39">
        <f>(SUMPRODUCT(J4:J10,K4:K10)+K11)*SQRT(I12)+H12</f>
        <v>22.228814951467399</v>
      </c>
      <c r="L12" s="15"/>
      <c r="M12" s="16"/>
      <c r="N12" t="s">
        <v>29</v>
      </c>
      <c r="O12" s="13">
        <f t="shared" ref="O12:Z12" si="3">O11+$G$16</f>
        <v>158.98444527743177</v>
      </c>
      <c r="P12" s="13">
        <f t="shared" si="3"/>
        <v>158.98444527743177</v>
      </c>
      <c r="Q12" s="13">
        <f t="shared" si="3"/>
        <v>158.91950922571954</v>
      </c>
      <c r="R12" s="13">
        <f t="shared" si="3"/>
        <v>158.81128247286583</v>
      </c>
      <c r="S12" s="13">
        <f t="shared" si="3"/>
        <v>158.2268580074558</v>
      </c>
      <c r="T12" s="13">
        <f t="shared" si="3"/>
        <v>157.25281723177241</v>
      </c>
      <c r="U12" s="13">
        <f t="shared" si="3"/>
        <v>156.38700320894273</v>
      </c>
      <c r="V12" s="13">
        <f t="shared" si="3"/>
        <v>156.38700320894273</v>
      </c>
      <c r="W12" s="13">
        <f t="shared" si="3"/>
        <v>157.25281723177241</v>
      </c>
      <c r="X12" s="13">
        <f t="shared" si="3"/>
        <v>157.94546845003615</v>
      </c>
      <c r="Y12" s="13">
        <f t="shared" si="3"/>
        <v>158.65976501887064</v>
      </c>
      <c r="Z12" s="13">
        <f t="shared" si="3"/>
        <v>158.91950922571954</v>
      </c>
    </row>
    <row r="13" spans="2:26" ht="15" thickBot="1" x14ac:dyDescent="0.35"/>
    <row r="14" spans="2:26" x14ac:dyDescent="0.3">
      <c r="G14" t="s">
        <v>68</v>
      </c>
      <c r="H14" s="18"/>
      <c r="I14" s="18"/>
      <c r="J14" s="18"/>
      <c r="N14" t="s">
        <v>33</v>
      </c>
      <c r="O14" s="13" cm="1">
        <f t="array" ref="O14:Z14">O8:Z8</f>
        <v>101.29408742351316</v>
      </c>
      <c r="P14" s="1">
        <v>101.29408742351316</v>
      </c>
      <c r="Q14" s="1">
        <v>100.60143620524943</v>
      </c>
      <c r="R14" s="1">
        <v>99.735622182419746</v>
      </c>
      <c r="S14" s="1">
        <v>97.484505723062554</v>
      </c>
      <c r="T14" s="1">
        <v>96.099203286535086</v>
      </c>
      <c r="U14" s="1">
        <v>94.540738045441657</v>
      </c>
      <c r="V14" s="1">
        <v>94.540738045441657</v>
      </c>
      <c r="W14" s="1">
        <v>96.813499855369571</v>
      </c>
      <c r="X14" s="1">
        <v>98.696645355024131</v>
      </c>
      <c r="Y14" s="1">
        <v>100.60143620524943</v>
      </c>
      <c r="Z14" s="1">
        <v>101.29408742351316</v>
      </c>
    </row>
    <row r="15" spans="2:26" x14ac:dyDescent="0.3">
      <c r="F15" t="s">
        <v>64</v>
      </c>
      <c r="G15">
        <v>0.73994189197037397</v>
      </c>
      <c r="N15" t="s">
        <v>31</v>
      </c>
      <c r="O15" s="13">
        <f>O9-O8</f>
        <v>28.325690513261492</v>
      </c>
      <c r="P15" s="13">
        <f t="shared" ref="P15:Z15" si="4">P9-P8</f>
        <v>28.325690513261492</v>
      </c>
      <c r="Q15" s="13">
        <f t="shared" si="4"/>
        <v>28.325690513261492</v>
      </c>
      <c r="R15" s="13">
        <f t="shared" si="4"/>
        <v>28.325690513261492</v>
      </c>
      <c r="S15" s="13">
        <f t="shared" si="4"/>
        <v>28.325690513261492</v>
      </c>
      <c r="T15" s="13">
        <f t="shared" si="4"/>
        <v>28.325690513261492</v>
      </c>
      <c r="U15" s="13">
        <f t="shared" si="4"/>
        <v>28.325690513261492</v>
      </c>
      <c r="V15" s="13">
        <f t="shared" si="4"/>
        <v>28.325690513261492</v>
      </c>
      <c r="W15" s="13">
        <f t="shared" si="4"/>
        <v>28.325690513261492</v>
      </c>
      <c r="X15" s="13">
        <f t="shared" si="4"/>
        <v>28.325690513261492</v>
      </c>
      <c r="Y15" s="13">
        <f t="shared" si="4"/>
        <v>28.325690513261492</v>
      </c>
      <c r="Z15" s="13">
        <f t="shared" si="4"/>
        <v>28.325690513261492</v>
      </c>
    </row>
    <row r="16" spans="2:26" x14ac:dyDescent="0.3">
      <c r="F16" t="s">
        <v>63</v>
      </c>
      <c r="G16" s="1">
        <f>G15*SQRT(I12)*Calculator!E6</f>
        <v>28.325690513261495</v>
      </c>
      <c r="H16" s="17"/>
      <c r="I16" s="17"/>
      <c r="J16" s="17"/>
      <c r="N16" t="s">
        <v>32</v>
      </c>
      <c r="O16" s="13">
        <f>O11-O9</f>
        <v>1.0389768273956292</v>
      </c>
      <c r="P16" s="13">
        <f t="shared" ref="P16:Z16" si="5">P11-P9</f>
        <v>1.0389768273956292</v>
      </c>
      <c r="Q16" s="13">
        <f t="shared" si="5"/>
        <v>1.6666919939471256</v>
      </c>
      <c r="R16" s="13">
        <f t="shared" si="5"/>
        <v>2.424279263923097</v>
      </c>
      <c r="S16" s="13">
        <f t="shared" si="5"/>
        <v>4.0909712578702653</v>
      </c>
      <c r="T16" s="13">
        <f t="shared" si="5"/>
        <v>4.5022329187143413</v>
      </c>
      <c r="U16" s="13">
        <f t="shared" si="5"/>
        <v>5.1948841369780894</v>
      </c>
      <c r="V16" s="13">
        <f t="shared" si="5"/>
        <v>5.1948841369780894</v>
      </c>
      <c r="W16" s="13">
        <f t="shared" si="5"/>
        <v>3.7879363498798568</v>
      </c>
      <c r="X16" s="13">
        <f t="shared" si="5"/>
        <v>2.5974420684890305</v>
      </c>
      <c r="Y16" s="13">
        <f t="shared" si="5"/>
        <v>1.4069477870982325</v>
      </c>
      <c r="Z16" s="13">
        <f t="shared" si="5"/>
        <v>0.97404077568339176</v>
      </c>
    </row>
    <row r="17" spans="6:26" x14ac:dyDescent="0.3">
      <c r="F17" t="s">
        <v>49</v>
      </c>
      <c r="G17" s="14">
        <v>0.87</v>
      </c>
      <c r="N17" t="s">
        <v>34</v>
      </c>
      <c r="O17" s="13" cm="1">
        <f t="array" ref="O17:Z17">O12:Z12-O11:Z11</f>
        <v>28.325690513261492</v>
      </c>
      <c r="P17" s="1">
        <v>28.325690513261492</v>
      </c>
      <c r="Q17" s="1">
        <v>28.325690513261492</v>
      </c>
      <c r="R17" s="1">
        <v>28.325690513261492</v>
      </c>
      <c r="S17" s="1">
        <v>28.325690513261492</v>
      </c>
      <c r="T17" s="1">
        <v>28.325690513261492</v>
      </c>
      <c r="U17" s="1">
        <v>28.325690513261492</v>
      </c>
      <c r="V17" s="1">
        <v>28.325690513261492</v>
      </c>
      <c r="W17" s="1">
        <v>28.325690513261492</v>
      </c>
      <c r="X17" s="1">
        <v>28.325690513261492</v>
      </c>
      <c r="Y17" s="1">
        <v>28.325690513261492</v>
      </c>
      <c r="Z17" s="1">
        <v>28.325690513261492</v>
      </c>
    </row>
    <row r="19" spans="6:26" x14ac:dyDescent="0.3">
      <c r="N19" t="s">
        <v>71</v>
      </c>
      <c r="O19" s="12">
        <v>200</v>
      </c>
      <c r="P19" s="1">
        <f>$O$19</f>
        <v>200</v>
      </c>
      <c r="Q19" s="1">
        <f t="shared" ref="Q19:Z19" si="6">$O$19</f>
        <v>200</v>
      </c>
      <c r="R19" s="1">
        <f t="shared" si="6"/>
        <v>200</v>
      </c>
      <c r="S19" s="1">
        <f t="shared" si="6"/>
        <v>200</v>
      </c>
      <c r="T19" s="1">
        <f t="shared" si="6"/>
        <v>200</v>
      </c>
      <c r="U19" s="1">
        <f t="shared" si="6"/>
        <v>200</v>
      </c>
      <c r="V19" s="1">
        <f t="shared" si="6"/>
        <v>200</v>
      </c>
      <c r="W19" s="1">
        <f t="shared" si="6"/>
        <v>200</v>
      </c>
      <c r="X19" s="1">
        <f t="shared" si="6"/>
        <v>200</v>
      </c>
      <c r="Y19" s="1">
        <f t="shared" si="6"/>
        <v>200</v>
      </c>
      <c r="Z19" s="1">
        <f t="shared" si="6"/>
        <v>200</v>
      </c>
    </row>
    <row r="20" spans="6:26" x14ac:dyDescent="0.3">
      <c r="N20" t="s">
        <v>56</v>
      </c>
      <c r="O20" s="12">
        <v>1</v>
      </c>
      <c r="P20" s="1">
        <f>$O$20</f>
        <v>1</v>
      </c>
      <c r="Q20" s="1">
        <f t="shared" ref="Q20:Z20" si="7">$O$20</f>
        <v>1</v>
      </c>
      <c r="R20" s="1">
        <f t="shared" si="7"/>
        <v>1</v>
      </c>
      <c r="S20" s="1">
        <f t="shared" si="7"/>
        <v>1</v>
      </c>
      <c r="T20" s="1">
        <f t="shared" si="7"/>
        <v>1</v>
      </c>
      <c r="U20" s="1">
        <f t="shared" si="7"/>
        <v>1</v>
      </c>
      <c r="V20" s="1">
        <f t="shared" si="7"/>
        <v>1</v>
      </c>
      <c r="W20" s="1">
        <f t="shared" si="7"/>
        <v>1</v>
      </c>
      <c r="X20" s="1">
        <f t="shared" si="7"/>
        <v>1</v>
      </c>
      <c r="Y20" s="1">
        <f t="shared" si="7"/>
        <v>1</v>
      </c>
      <c r="Z20" s="1">
        <f t="shared" si="7"/>
        <v>1</v>
      </c>
    </row>
    <row r="23" spans="6:26" x14ac:dyDescent="0.3">
      <c r="N23" t="s">
        <v>30</v>
      </c>
      <c r="O23" s="13">
        <f>O24+Backend!$G$16/Backend!$O$19*O24</f>
        <v>47.032143039758218</v>
      </c>
      <c r="P23" s="13">
        <f>P24+Backend!$G$16/Backend!$O$19*P24</f>
        <v>47.032143039758218</v>
      </c>
      <c r="Q23" s="13">
        <f>Q24+Backend!$G$16/Backend!$O$19*Q24</f>
        <v>47.284819664167671</v>
      </c>
      <c r="R23" s="13">
        <f>R24+Backend!$G$16/Backend!$O$19*R24</f>
        <v>47.604509186869166</v>
      </c>
      <c r="S23" s="13">
        <f>S24+Backend!$G$16/Backend!$O$19*S24</f>
        <v>48.456294633327609</v>
      </c>
      <c r="T23" s="13">
        <f>T24+Backend!$G$16/Backend!$O$19*T24</f>
        <v>48.995789753401006</v>
      </c>
      <c r="U23" s="13">
        <f>U24+Backend!$G$16/Backend!$O$19*U24</f>
        <v>49.617263301434633</v>
      </c>
      <c r="V23" s="13">
        <f>V24+Backend!$G$16/Backend!$O$19*V24</f>
        <v>49.617263301434633</v>
      </c>
      <c r="W23" s="13">
        <f>W24+Backend!$G$16/Backend!$O$19*W24</f>
        <v>48.716120974938441</v>
      </c>
      <c r="X23" s="13">
        <f>X24+Backend!$G$16/Backend!$O$19*X24</f>
        <v>47.993889381986854</v>
      </c>
      <c r="Y23" s="13">
        <f>Y24+Backend!$G$16/Backend!$O$19*Y24</f>
        <v>47.284819664167671</v>
      </c>
      <c r="Z23" s="13">
        <f>Z24+Backend!$G$16/Backend!$O$19*Z24</f>
        <v>47.032143039758218</v>
      </c>
    </row>
    <row r="24" spans="6:26" x14ac:dyDescent="0.3">
      <c r="N24" t="s">
        <v>16</v>
      </c>
      <c r="O24" s="13">
        <f>$O$19/O9*Calculator!$E$7</f>
        <v>41.197416667421855</v>
      </c>
      <c r="P24" s="13">
        <f>$O$19/P9*Calculator!$E$7</f>
        <v>41.197416667421855</v>
      </c>
      <c r="Q24" s="13">
        <f>$O$19/Q9*Calculator!$E$7</f>
        <v>41.4187466665485</v>
      </c>
      <c r="R24" s="13">
        <f>$O$19/R9*Calculator!$E$7</f>
        <v>41.698776059634184</v>
      </c>
      <c r="S24" s="13">
        <f>$O$19/S9*Calculator!$E$7</f>
        <v>42.444890475882033</v>
      </c>
      <c r="T24" s="13">
        <f>$O$19/T9*Calculator!$E$7</f>
        <v>42.917456763854837</v>
      </c>
      <c r="U24" s="13">
        <f>$O$19/U9*Calculator!$E$7</f>
        <v>43.461831377711555</v>
      </c>
      <c r="V24" s="13">
        <f>$O$19/V9*Calculator!$E$7</f>
        <v>43.461831377711555</v>
      </c>
      <c r="W24" s="13">
        <f>$O$19/W9*Calculator!$E$7</f>
        <v>42.672483210652054</v>
      </c>
      <c r="X24" s="13">
        <f>$O$19/X9*Calculator!$E$7</f>
        <v>42.039850420773654</v>
      </c>
      <c r="Y24" s="13">
        <f>$O$19/Y9*Calculator!$E$7</f>
        <v>41.4187466665485</v>
      </c>
      <c r="Z24" s="13">
        <f>$O$19/Z9*Calculator!$E$7</f>
        <v>41.197416667421855</v>
      </c>
    </row>
    <row r="25" spans="6:26" x14ac:dyDescent="0.3">
      <c r="N25" t="s">
        <v>72</v>
      </c>
      <c r="O25" s="13">
        <f>$O$19/O10*Calculator!$E$7</f>
        <v>40.97163401248676</v>
      </c>
      <c r="P25" s="13">
        <f>$O$19/P10*Calculator!$E$7</f>
        <v>40.97163401248676</v>
      </c>
      <c r="Q25" s="13">
        <f>$O$19/Q10*Calculator!$E$7</f>
        <v>41.068826749470404</v>
      </c>
      <c r="R25" s="13">
        <f>$O$19/R10*Calculator!$E$7</f>
        <v>41.197416667421855</v>
      </c>
      <c r="S25" s="13">
        <f>$O$19/S10*Calculator!$E$7</f>
        <v>41.623146765082268</v>
      </c>
      <c r="T25" s="13">
        <f>$O$19/T10*Calculator!$E$7</f>
        <v>42.039850420773654</v>
      </c>
      <c r="U25" s="13">
        <f>$O$19/U10*Calculator!$E$7</f>
        <v>42.444890475882033</v>
      </c>
      <c r="V25" s="13">
        <f>$O$19/V10*Calculator!$E$7</f>
        <v>42.444890475882033</v>
      </c>
      <c r="W25" s="13">
        <f>$O$19/W10*Calculator!$E$7</f>
        <v>41.948709519482634</v>
      </c>
      <c r="X25" s="13">
        <f>$O$19/X10*Calculator!$E$7</f>
        <v>41.551290166423179</v>
      </c>
      <c r="Y25" s="13">
        <f>$O$19/Y10*Calculator!$E$7</f>
        <v>41.151031636433515</v>
      </c>
      <c r="Z25" s="13">
        <f>$O$19/Z10*Calculator!$E$7</f>
        <v>41.000573145069282</v>
      </c>
    </row>
    <row r="26" spans="6:26" x14ac:dyDescent="0.3">
      <c r="N26" t="s">
        <v>17</v>
      </c>
      <c r="O26" s="13">
        <f>$O$19/O11*Calculator!$E$7</f>
        <v>40.869821617681254</v>
      </c>
      <c r="P26" s="13">
        <f>$O$19/P11*Calculator!$E$7</f>
        <v>40.869821617681254</v>
      </c>
      <c r="Q26" s="13">
        <f>$O$19/Q11*Calculator!$E$7</f>
        <v>40.890143596747343</v>
      </c>
      <c r="R26" s="13">
        <f>$O$19/R11*Calculator!$E$7</f>
        <v>40.924058509487807</v>
      </c>
      <c r="S26" s="13">
        <f>$O$19/S11*Calculator!$E$7</f>
        <v>41.108175569235442</v>
      </c>
      <c r="T26" s="13">
        <f>$O$19/T11*Calculator!$E$7</f>
        <v>41.4187466665485</v>
      </c>
      <c r="U26" s="13">
        <f>$O$19/U11*Calculator!$E$7</f>
        <v>41.698776059634184</v>
      </c>
      <c r="V26" s="13">
        <f>$O$19/V11*Calculator!$E$7</f>
        <v>41.698776059634184</v>
      </c>
      <c r="W26" s="13">
        <f>$O$19/W11*Calculator!$E$7</f>
        <v>41.4187466665485</v>
      </c>
      <c r="X26" s="13">
        <f>$O$19/X11*Calculator!$E$7</f>
        <v>41.197416667421855</v>
      </c>
      <c r="Y26" s="13">
        <f>$O$19/Y11*Calculator!$E$7</f>
        <v>40.97163401248676</v>
      </c>
      <c r="Z26" s="13">
        <f>$O$19/Z11*Calculator!$E$7</f>
        <v>40.890143596747343</v>
      </c>
    </row>
    <row r="27" spans="6:26" x14ac:dyDescent="0.3">
      <c r="N27" t="s">
        <v>29</v>
      </c>
      <c r="O27" s="13">
        <f>O26-Backend!$G$16/Backend!$O$19*O26</f>
        <v>35.081492025308037</v>
      </c>
      <c r="P27" s="13">
        <f>P26-Backend!$G$16/Backend!$O$19*P26</f>
        <v>35.081492025308037</v>
      </c>
      <c r="Q27" s="13">
        <f>Q26-Backend!$G$16/Backend!$O$19*Q26</f>
        <v>35.098935833925907</v>
      </c>
      <c r="R27" s="13">
        <f>R26-Backend!$G$16/Backend!$O$19*R26</f>
        <v>35.128047430056021</v>
      </c>
      <c r="S27" s="13">
        <f>S26-Backend!$G$16/Backend!$O$19*S26</f>
        <v>35.286088275540543</v>
      </c>
      <c r="T27" s="13">
        <f>T26-Backend!$G$16/Backend!$O$19*T26</f>
        <v>35.55267366892933</v>
      </c>
      <c r="U27" s="13">
        <f>U26-Backend!$G$16/Backend!$O$19*U26</f>
        <v>35.793042932399203</v>
      </c>
      <c r="V27" s="13">
        <f>V26-Backend!$G$16/Backend!$O$19*V26</f>
        <v>35.793042932399203</v>
      </c>
      <c r="W27" s="13">
        <f>W26-Backend!$G$16/Backend!$O$19*W26</f>
        <v>35.55267366892933</v>
      </c>
      <c r="X27" s="13">
        <f>X26-Backend!$G$16/Backend!$O$19*X26</f>
        <v>35.362690295085493</v>
      </c>
      <c r="Y27" s="13">
        <f>Y26-Backend!$G$16/Backend!$O$19*Y26</f>
        <v>35.168884888185168</v>
      </c>
      <c r="Z27" s="13">
        <f>Z26-Backend!$G$16/Backend!$O$19*Z26</f>
        <v>35.098935833925907</v>
      </c>
    </row>
    <row r="29" spans="6:26" x14ac:dyDescent="0.3">
      <c r="N29" t="s">
        <v>33</v>
      </c>
      <c r="O29" s="13" cm="1">
        <f t="array" ref="O29:Z29">O27:Z27</f>
        <v>35.081492025308037</v>
      </c>
      <c r="P29" s="1">
        <v>35.081492025308037</v>
      </c>
      <c r="Q29" s="1">
        <v>35.098935833925907</v>
      </c>
      <c r="R29" s="1">
        <v>35.128047430056021</v>
      </c>
      <c r="S29" s="1">
        <v>35.286088275540543</v>
      </c>
      <c r="T29" s="1">
        <v>35.55267366892933</v>
      </c>
      <c r="U29" s="1">
        <v>35.793042932399203</v>
      </c>
      <c r="V29" s="1">
        <v>35.793042932399203</v>
      </c>
      <c r="W29" s="1">
        <v>35.55267366892933</v>
      </c>
      <c r="X29" s="1">
        <v>35.362690295085493</v>
      </c>
      <c r="Y29" s="1">
        <v>35.168884888185168</v>
      </c>
      <c r="Z29" s="1">
        <v>35.098935833925907</v>
      </c>
    </row>
    <row r="30" spans="6:26" x14ac:dyDescent="0.3">
      <c r="N30" t="s">
        <v>31</v>
      </c>
      <c r="O30" s="13">
        <f>O26-O27</f>
        <v>5.7883295923732163</v>
      </c>
      <c r="P30" s="13">
        <f t="shared" ref="P30:Z30" si="8">P26-P27</f>
        <v>5.7883295923732163</v>
      </c>
      <c r="Q30" s="13">
        <f t="shared" si="8"/>
        <v>5.7912077628214362</v>
      </c>
      <c r="R30" s="13">
        <f t="shared" si="8"/>
        <v>5.7960110794317856</v>
      </c>
      <c r="S30" s="13">
        <f t="shared" si="8"/>
        <v>5.8220872936948993</v>
      </c>
      <c r="T30" s="13">
        <f t="shared" si="8"/>
        <v>5.8660729976191703</v>
      </c>
      <c r="U30" s="13">
        <f t="shared" si="8"/>
        <v>5.9057331272349813</v>
      </c>
      <c r="V30" s="13">
        <f t="shared" si="8"/>
        <v>5.9057331272349813</v>
      </c>
      <c r="W30" s="13">
        <f t="shared" si="8"/>
        <v>5.8660729976191703</v>
      </c>
      <c r="X30" s="13">
        <f t="shared" si="8"/>
        <v>5.8347263723363625</v>
      </c>
      <c r="Y30" s="13">
        <f t="shared" si="8"/>
        <v>5.8027491243015916</v>
      </c>
      <c r="Z30" s="13">
        <f t="shared" si="8"/>
        <v>5.7912077628214362</v>
      </c>
    </row>
    <row r="31" spans="6:26" x14ac:dyDescent="0.3">
      <c r="N31" t="s">
        <v>32</v>
      </c>
      <c r="O31" s="13">
        <f>O24-O26</f>
        <v>0.3275950497406015</v>
      </c>
      <c r="P31" s="13">
        <f t="shared" ref="P31:Z31" si="9">P24-P26</f>
        <v>0.3275950497406015</v>
      </c>
      <c r="Q31" s="13">
        <f t="shared" si="9"/>
        <v>0.52860306980115723</v>
      </c>
      <c r="R31" s="13">
        <f t="shared" si="9"/>
        <v>0.77471755014637722</v>
      </c>
      <c r="S31" s="13">
        <f t="shared" si="9"/>
        <v>1.3367149066465913</v>
      </c>
      <c r="T31" s="13">
        <f t="shared" si="9"/>
        <v>1.4987100973063363</v>
      </c>
      <c r="U31" s="13">
        <f t="shared" si="9"/>
        <v>1.7630553180773703</v>
      </c>
      <c r="V31" s="13">
        <f t="shared" si="9"/>
        <v>1.7630553180773703</v>
      </c>
      <c r="W31" s="13">
        <f t="shared" si="9"/>
        <v>1.2537365441035533</v>
      </c>
      <c r="X31" s="13">
        <f t="shared" si="9"/>
        <v>0.84243375335179849</v>
      </c>
      <c r="Y31" s="13">
        <f t="shared" si="9"/>
        <v>0.4471126540617405</v>
      </c>
      <c r="Z31" s="13">
        <f t="shared" si="9"/>
        <v>0.30727307067451193</v>
      </c>
    </row>
    <row r="32" spans="6:26" x14ac:dyDescent="0.3">
      <c r="N32" t="s">
        <v>34</v>
      </c>
      <c r="O32" s="13" cm="1">
        <f t="array" ref="O32:Z32">O23:Z23-O24:Z24</f>
        <v>5.8347263723363625</v>
      </c>
      <c r="P32" s="1">
        <v>5.8347263723363625</v>
      </c>
      <c r="Q32" s="1">
        <v>5.8660729976191703</v>
      </c>
      <c r="R32" s="1">
        <v>5.9057331272349813</v>
      </c>
      <c r="S32" s="1">
        <v>6.0114041574455754</v>
      </c>
      <c r="T32" s="1">
        <v>6.0783329895461691</v>
      </c>
      <c r="U32" s="1">
        <v>6.1554319237230786</v>
      </c>
      <c r="V32" s="1">
        <v>6.1554319237230786</v>
      </c>
      <c r="W32" s="1">
        <v>6.0436377642863874</v>
      </c>
      <c r="X32" s="1">
        <v>5.9540389612132003</v>
      </c>
      <c r="Y32" s="1">
        <v>5.8660729976191703</v>
      </c>
      <c r="Z32" s="1">
        <v>5.8347263723363625</v>
      </c>
    </row>
    <row r="34" spans="14:26" x14ac:dyDescent="0.3">
      <c r="N34" t="s">
        <v>53</v>
      </c>
      <c r="O34" s="1">
        <f>Calculator!$E$7</f>
        <v>26.7</v>
      </c>
      <c r="P34" s="1">
        <f>$O$34</f>
        <v>26.7</v>
      </c>
      <c r="Q34" s="1">
        <f t="shared" ref="Q34:Z34" si="10">$O$34</f>
        <v>26.7</v>
      </c>
      <c r="R34" s="1">
        <f t="shared" si="10"/>
        <v>26.7</v>
      </c>
      <c r="S34" s="1">
        <f t="shared" si="10"/>
        <v>26.7</v>
      </c>
      <c r="T34" s="1">
        <f t="shared" si="10"/>
        <v>26.7</v>
      </c>
      <c r="U34" s="1">
        <f t="shared" si="10"/>
        <v>26.7</v>
      </c>
      <c r="V34" s="1">
        <f t="shared" si="10"/>
        <v>26.7</v>
      </c>
      <c r="W34" s="1">
        <f t="shared" si="10"/>
        <v>26.7</v>
      </c>
      <c r="X34" s="1">
        <f t="shared" si="10"/>
        <v>26.7</v>
      </c>
      <c r="Y34" s="1">
        <f t="shared" si="10"/>
        <v>26.7</v>
      </c>
      <c r="Z34" s="1">
        <f t="shared" si="10"/>
        <v>26.7</v>
      </c>
    </row>
    <row r="36" spans="14:26" ht="15" thickBot="1" x14ac:dyDescent="0.35"/>
    <row r="37" spans="14:26" ht="15" thickBot="1" x14ac:dyDescent="0.35">
      <c r="N37" t="s">
        <v>30</v>
      </c>
      <c r="O37" s="67">
        <f>O38+Backend!$G$16/Backend!$O$19*O38</f>
        <v>10.216720210883809</v>
      </c>
      <c r="P37" s="67">
        <f>P38+Backend!$G$16/Backend!$O$19*P38</f>
        <v>10.216720210883809</v>
      </c>
      <c r="Q37" s="67">
        <f>Q38+Backend!$G$16/Backend!$O$19*Q38</f>
        <v>10.27160876599897</v>
      </c>
      <c r="R37" s="67">
        <f>R38+Backend!$G$16/Backend!$O$19*R38</f>
        <v>10.341054430106411</v>
      </c>
      <c r="S37" s="67">
        <f>S38+Backend!$G$16/Backend!$O$19*S38</f>
        <v>10.526086474655434</v>
      </c>
      <c r="T37" s="67">
        <f>T38+Backend!$G$16/Backend!$O$19*T38</f>
        <v>10.643280171150781</v>
      </c>
      <c r="U37" s="67">
        <f>U38+Backend!$G$16/Backend!$O$19*U38</f>
        <v>10.778281915667449</v>
      </c>
      <c r="V37" s="67">
        <f>V38+Backend!$G$16/Backend!$O$19*V38</f>
        <v>10.778281915667449</v>
      </c>
      <c r="W37" s="67">
        <f>W38+Backend!$G$16/Backend!$O$19*W38</f>
        <v>10.582528151859286</v>
      </c>
      <c r="X37" s="67">
        <f>X38+Backend!$G$16/Backend!$O$19*X38</f>
        <v>10.425638891967182</v>
      </c>
      <c r="Y37" s="67">
        <f>Y38+Backend!$G$16/Backend!$O$19*Y38</f>
        <v>10.27160876599897</v>
      </c>
      <c r="Z37" s="67">
        <f>Z38+Backend!$G$16/Backend!$O$19*Z38</f>
        <v>10.216720210883809</v>
      </c>
    </row>
    <row r="38" spans="14:26" ht="15" thickBot="1" x14ac:dyDescent="0.35">
      <c r="N38" t="s">
        <v>16</v>
      </c>
      <c r="O38" s="67">
        <f>$O$19/O9*Calculator!$E$6</f>
        <v>8.9492515607133623</v>
      </c>
      <c r="P38" s="67">
        <f>$O$19/P9*Calculator!$E$6</f>
        <v>8.9492515607133623</v>
      </c>
      <c r="Q38" s="67">
        <f>$O$19/Q9*Calculator!$E$6</f>
        <v>8.9973307365536073</v>
      </c>
      <c r="R38" s="67">
        <f>$O$19/R9*Calculator!$E$6</f>
        <v>9.0581610916059283</v>
      </c>
      <c r="S38" s="67">
        <f>$O$19/S9*Calculator!$E$6</f>
        <v>9.2202383805286807</v>
      </c>
      <c r="T38" s="67">
        <f>$O$19/T9*Calculator!$E$6</f>
        <v>9.3228932296014264</v>
      </c>
      <c r="U38" s="67">
        <f>$O$19/U9*Calculator!$E$6</f>
        <v>9.4411468910384659</v>
      </c>
      <c r="V38" s="67">
        <f>$O$19/V9*Calculator!$E$6</f>
        <v>9.4411468910384659</v>
      </c>
      <c r="W38" s="67">
        <f>$O$19/W9*Calculator!$E$6</f>
        <v>9.2696780008158015</v>
      </c>
      <c r="X38" s="67">
        <f>$O$19/X9*Calculator!$E$6</f>
        <v>9.1322521513291086</v>
      </c>
      <c r="Y38" s="67">
        <f>$O$19/Y9*Calculator!$E$6</f>
        <v>8.9973307365536073</v>
      </c>
      <c r="Z38" s="67">
        <f>$O$19/Z9*Calculator!$E$6</f>
        <v>8.9492515607133623</v>
      </c>
    </row>
    <row r="39" spans="14:26" ht="15" thickBot="1" x14ac:dyDescent="0.35">
      <c r="N39" t="s">
        <v>136</v>
      </c>
      <c r="O39" s="67">
        <f>$O$19/O10*Calculator!$E$6</f>
        <v>8.9002051412892591</v>
      </c>
      <c r="P39" s="67">
        <f>$O$19/P10*Calculator!$E$6</f>
        <v>8.9002051412892591</v>
      </c>
      <c r="Q39" s="67">
        <f>$O$19/Q10*Calculator!$E$6</f>
        <v>8.9213181702969422</v>
      </c>
      <c r="R39" s="67">
        <f>$O$19/R10*Calculator!$E$6</f>
        <v>8.9492515607133623</v>
      </c>
      <c r="S39" s="67">
        <f>$O$19/S10*Calculator!$E$6</f>
        <v>9.0417322560852877</v>
      </c>
      <c r="T39" s="67">
        <f>$O$19/T10*Calculator!$E$6</f>
        <v>9.1322521513291086</v>
      </c>
      <c r="U39" s="67">
        <f>$O$19/U10*Calculator!$E$6</f>
        <v>9.2202383805286807</v>
      </c>
      <c r="V39" s="67">
        <f>$O$19/V10*Calculator!$E$6</f>
        <v>9.2202383805286807</v>
      </c>
      <c r="W39" s="67">
        <f>$O$19/W10*Calculator!$E$6</f>
        <v>9.1124537532958527</v>
      </c>
      <c r="X39" s="67">
        <f>$O$19/X10*Calculator!$E$6</f>
        <v>9.0261229575001671</v>
      </c>
      <c r="Y39" s="67">
        <f>$O$19/Y10*Calculator!$E$6</f>
        <v>8.9391754116597149</v>
      </c>
      <c r="Z39" s="67">
        <f>$O$19/Z10*Calculator!$E$6</f>
        <v>8.906491544621792</v>
      </c>
    </row>
    <row r="40" spans="14:26" ht="15" thickBot="1" x14ac:dyDescent="0.35">
      <c r="N40" t="s">
        <v>17</v>
      </c>
      <c r="O40" s="67">
        <f>$O$19/O11*Calculator!$E$6</f>
        <v>8.8780885911067884</v>
      </c>
      <c r="P40" s="67">
        <f>$O$19/P11*Calculator!$E$6</f>
        <v>8.8780885911067884</v>
      </c>
      <c r="Q40" s="67">
        <f>$O$19/Q11*Calculator!$E$6</f>
        <v>8.8825031034132813</v>
      </c>
      <c r="R40" s="67">
        <f>$O$19/R11*Calculator!$E$6</f>
        <v>8.8898703878288128</v>
      </c>
      <c r="S40" s="67">
        <f>$O$19/S11*Calculator!$E$6</f>
        <v>8.9298658539912186</v>
      </c>
      <c r="T40" s="67">
        <f>$O$19/T11*Calculator!$E$6</f>
        <v>8.9973307365536073</v>
      </c>
      <c r="U40" s="67">
        <f>$O$19/U11*Calculator!$E$6</f>
        <v>9.0581610916059283</v>
      </c>
      <c r="V40" s="67">
        <f>$O$19/V11*Calculator!$E$6</f>
        <v>9.0581610916059283</v>
      </c>
      <c r="W40" s="67">
        <f>$O$19/W11*Calculator!$E$6</f>
        <v>8.9973307365536073</v>
      </c>
      <c r="X40" s="67">
        <f>$O$19/X11*Calculator!$E$6</f>
        <v>8.9492515607133623</v>
      </c>
      <c r="Y40" s="67">
        <f>$O$19/Y11*Calculator!$E$6</f>
        <v>8.9002051412892591</v>
      </c>
      <c r="Z40" s="67">
        <f>$O$19/Z11*Calculator!$E$6</f>
        <v>8.8825031034132813</v>
      </c>
    </row>
    <row r="41" spans="14:26" ht="15" thickBot="1" x14ac:dyDescent="0.35">
      <c r="N41" t="s">
        <v>29</v>
      </c>
      <c r="O41" s="67">
        <f>O40-Backend!$G$16/Backend!$O$19*O40</f>
        <v>7.6206986422017451</v>
      </c>
      <c r="P41" s="67">
        <f>P40-Backend!$G$16/Backend!$O$19*P40</f>
        <v>7.6206986422017451</v>
      </c>
      <c r="Q41" s="67">
        <f>Q40-Backend!$G$16/Backend!$O$19*Q40</f>
        <v>7.6244879339614346</v>
      </c>
      <c r="R41" s="67">
        <f>R40-Backend!$G$16/Backend!$O$19*R40</f>
        <v>7.6308118012855779</v>
      </c>
      <c r="S41" s="67">
        <f>S40-Backend!$G$16/Backend!$O$19*S40</f>
        <v>7.6651427714657343</v>
      </c>
      <c r="T41" s="67">
        <f>T40-Backend!$G$16/Backend!$O$19*T40</f>
        <v>7.723052707108244</v>
      </c>
      <c r="U41" s="67">
        <f>U40-Backend!$G$16/Backend!$O$19*U40</f>
        <v>7.7752677531054459</v>
      </c>
      <c r="V41" s="67">
        <f>V40-Backend!$G$16/Backend!$O$19*V40</f>
        <v>7.7752677531054459</v>
      </c>
      <c r="W41" s="67">
        <f>W40-Backend!$G$16/Backend!$O$19*W40</f>
        <v>7.723052707108244</v>
      </c>
      <c r="X41" s="67">
        <f>X40-Backend!$G$16/Backend!$O$19*X40</f>
        <v>7.6817829105429167</v>
      </c>
      <c r="Y41" s="67">
        <f>Y40-Backend!$G$16/Backend!$O$19*Y40</f>
        <v>7.6396828596057675</v>
      </c>
      <c r="Z41" s="67">
        <f>Z40-Backend!$G$16/Backend!$O$19*Z40</f>
        <v>7.6244879339614346</v>
      </c>
    </row>
    <row r="42" spans="14:26" ht="15" thickBot="1" x14ac:dyDescent="0.35"/>
    <row r="43" spans="14:26" ht="15" thickBot="1" x14ac:dyDescent="0.35">
      <c r="N43" t="s">
        <v>33</v>
      </c>
      <c r="O43" s="13" cm="1">
        <f t="array" ref="O43:Z43">O41:Z41</f>
        <v>7.6206986422017451</v>
      </c>
      <c r="P43" s="1">
        <v>7.6206986422017451</v>
      </c>
      <c r="Q43" s="1">
        <v>7.6244879339614346</v>
      </c>
      <c r="R43" s="1">
        <v>7.6308118012855779</v>
      </c>
      <c r="S43" s="1">
        <v>7.6651427714657343</v>
      </c>
      <c r="T43" s="1">
        <v>7.723052707108244</v>
      </c>
      <c r="U43" s="1">
        <v>7.7752677531054459</v>
      </c>
      <c r="V43" s="1">
        <v>7.7752677531054459</v>
      </c>
      <c r="W43" s="1">
        <v>7.723052707108244</v>
      </c>
      <c r="X43" s="1">
        <v>7.6817829105429167</v>
      </c>
      <c r="Y43" s="1">
        <v>7.6396828596057675</v>
      </c>
      <c r="Z43" s="1">
        <v>7.6244879339614346</v>
      </c>
    </row>
    <row r="44" spans="14:26" ht="15" thickBot="1" x14ac:dyDescent="0.35">
      <c r="N44" t="s">
        <v>31</v>
      </c>
      <c r="O44" s="68">
        <f>O40-O41</f>
        <v>1.2573899489050433</v>
      </c>
      <c r="P44" s="68">
        <f t="shared" ref="P44:Z44" si="11">P40-P41</f>
        <v>1.2573899489050433</v>
      </c>
      <c r="Q44" s="68">
        <f t="shared" si="11"/>
        <v>1.2580151694518467</v>
      </c>
      <c r="R44" s="68">
        <f t="shared" si="11"/>
        <v>1.2590585865432349</v>
      </c>
      <c r="S44" s="68">
        <f t="shared" si="11"/>
        <v>1.2647230825254843</v>
      </c>
      <c r="T44" s="68">
        <f t="shared" si="11"/>
        <v>1.2742780294453633</v>
      </c>
      <c r="U44" s="68">
        <f t="shared" si="11"/>
        <v>1.2828933385004824</v>
      </c>
      <c r="V44" s="68">
        <f t="shared" si="11"/>
        <v>1.2828933385004824</v>
      </c>
      <c r="W44" s="68">
        <f t="shared" si="11"/>
        <v>1.2742780294453633</v>
      </c>
      <c r="X44" s="68">
        <f t="shared" si="11"/>
        <v>1.2674686501704455</v>
      </c>
      <c r="Y44" s="68">
        <f t="shared" si="11"/>
        <v>1.2605222816834916</v>
      </c>
      <c r="Z44" s="68">
        <f t="shared" si="11"/>
        <v>1.2580151694518467</v>
      </c>
    </row>
    <row r="45" spans="14:26" ht="15" thickBot="1" x14ac:dyDescent="0.35">
      <c r="N45" t="s">
        <v>32</v>
      </c>
      <c r="O45" s="68">
        <f>O38-O40</f>
        <v>7.1162969606573867E-2</v>
      </c>
      <c r="P45" s="68">
        <f t="shared" ref="P45:Z45" si="12">P38-P40</f>
        <v>7.1162969606573867E-2</v>
      </c>
      <c r="Q45" s="68">
        <f t="shared" si="12"/>
        <v>0.11482763314032596</v>
      </c>
      <c r="R45" s="68">
        <f t="shared" si="12"/>
        <v>0.16829070377711552</v>
      </c>
      <c r="S45" s="68">
        <f t="shared" si="12"/>
        <v>0.29037252653746215</v>
      </c>
      <c r="T45" s="68">
        <f t="shared" si="12"/>
        <v>0.32556249304781915</v>
      </c>
      <c r="U45" s="68">
        <f t="shared" si="12"/>
        <v>0.38298579943253763</v>
      </c>
      <c r="V45" s="68">
        <f t="shared" si="12"/>
        <v>0.38298579943253763</v>
      </c>
      <c r="W45" s="68">
        <f t="shared" si="12"/>
        <v>0.27234726426219424</v>
      </c>
      <c r="X45" s="68">
        <f t="shared" si="12"/>
        <v>0.18300059061574636</v>
      </c>
      <c r="Y45" s="68">
        <f t="shared" si="12"/>
        <v>9.7125595264348163E-2</v>
      </c>
      <c r="Z45" s="68">
        <f t="shared" si="12"/>
        <v>6.6748457300080943E-2</v>
      </c>
    </row>
    <row r="46" spans="14:26" ht="15" thickBot="1" x14ac:dyDescent="0.35">
      <c r="N46" t="s">
        <v>34</v>
      </c>
      <c r="O46" s="13" cm="1">
        <f t="array" ref="O46:Z46">O37:Z37-O38:Z38</f>
        <v>1.2674686501704464</v>
      </c>
      <c r="P46" s="1">
        <v>1.2674686501704464</v>
      </c>
      <c r="Q46" s="1">
        <v>1.2742780294453624</v>
      </c>
      <c r="R46" s="1">
        <v>1.2828933385004824</v>
      </c>
      <c r="S46" s="1">
        <v>1.3058480941267536</v>
      </c>
      <c r="T46" s="1">
        <v>1.320386941549355</v>
      </c>
      <c r="U46" s="1">
        <v>1.3371350246289833</v>
      </c>
      <c r="V46" s="1">
        <v>1.3371350246289833</v>
      </c>
      <c r="W46" s="1">
        <v>1.3128501510434845</v>
      </c>
      <c r="X46" s="1">
        <v>1.2933867406380735</v>
      </c>
      <c r="Y46" s="1">
        <v>1.2742780294453624</v>
      </c>
      <c r="Z46" s="1">
        <v>1.2674686501704464</v>
      </c>
    </row>
    <row r="47" spans="14:26" ht="15" thickBot="1" x14ac:dyDescent="0.35"/>
    <row r="48" spans="14:26" ht="15" thickBot="1" x14ac:dyDescent="0.35">
      <c r="N48" t="s">
        <v>135</v>
      </c>
      <c r="O48" s="1">
        <f>Calculator!$E$6</f>
        <v>5.8</v>
      </c>
      <c r="P48" s="1">
        <f>Calculator!$E$6</f>
        <v>5.8</v>
      </c>
      <c r="Q48" s="1">
        <f>Calculator!$E$6</f>
        <v>5.8</v>
      </c>
      <c r="R48" s="1">
        <f>Calculator!$E$6</f>
        <v>5.8</v>
      </c>
      <c r="S48" s="1">
        <f>Calculator!$E$6</f>
        <v>5.8</v>
      </c>
      <c r="T48" s="1">
        <f>Calculator!$E$6</f>
        <v>5.8</v>
      </c>
      <c r="U48" s="1">
        <f>Calculator!$E$6</f>
        <v>5.8</v>
      </c>
      <c r="V48" s="1">
        <f>Calculator!$E$6</f>
        <v>5.8</v>
      </c>
      <c r="W48" s="1">
        <f>Calculator!$E$6</f>
        <v>5.8</v>
      </c>
      <c r="X48" s="1">
        <f>Calculator!$E$6</f>
        <v>5.8</v>
      </c>
      <c r="Y48" s="1">
        <f>Calculator!$E$6</f>
        <v>5.8</v>
      </c>
      <c r="Z48" s="1">
        <f>Calculator!$E$6</f>
        <v>5.8</v>
      </c>
    </row>
  </sheetData>
  <conditionalFormatting sqref="M4:M12">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3C94-ABFC-4B89-89AE-57A7C50DB00B}">
  <dimension ref="A1:O25"/>
  <sheetViews>
    <sheetView workbookViewId="0">
      <selection activeCell="G8" sqref="G8"/>
    </sheetView>
  </sheetViews>
  <sheetFormatPr defaultRowHeight="14.4" x14ac:dyDescent="0.3"/>
  <cols>
    <col min="7" max="7" width="13" customWidth="1"/>
    <col min="8" max="8" width="10.109375" customWidth="1"/>
  </cols>
  <sheetData>
    <row r="1" spans="1:15" x14ac:dyDescent="0.3">
      <c r="A1" t="s">
        <v>104</v>
      </c>
      <c r="B1" t="s">
        <v>102</v>
      </c>
      <c r="D1" t="s">
        <v>108</v>
      </c>
      <c r="E1" t="s">
        <v>109</v>
      </c>
      <c r="G1" t="s">
        <v>70</v>
      </c>
      <c r="H1" t="s">
        <v>115</v>
      </c>
    </row>
    <row r="2" spans="1:15" x14ac:dyDescent="0.3">
      <c r="A2" t="s">
        <v>103</v>
      </c>
      <c r="D2" t="s">
        <v>103</v>
      </c>
      <c r="G2" t="s">
        <v>103</v>
      </c>
    </row>
    <row r="3" spans="1:15" x14ac:dyDescent="0.3">
      <c r="A3" t="s">
        <v>105</v>
      </c>
      <c r="B3">
        <v>1700</v>
      </c>
      <c r="D3" t="s">
        <v>110</v>
      </c>
      <c r="E3" s="57">
        <v>9</v>
      </c>
      <c r="G3" t="s">
        <v>113</v>
      </c>
      <c r="H3" s="18">
        <v>0.66819843437288096</v>
      </c>
    </row>
    <row r="4" spans="1:15" x14ac:dyDescent="0.3">
      <c r="A4" t="s">
        <v>106</v>
      </c>
      <c r="B4">
        <v>2300</v>
      </c>
      <c r="D4" t="s">
        <v>111</v>
      </c>
      <c r="E4" s="57">
        <v>4</v>
      </c>
      <c r="G4" t="s">
        <v>149</v>
      </c>
      <c r="H4" s="18">
        <v>0.49305792888958899</v>
      </c>
    </row>
    <row r="5" spans="1:15" x14ac:dyDescent="0.3">
      <c r="A5" t="s">
        <v>149</v>
      </c>
      <c r="B5">
        <v>2872</v>
      </c>
      <c r="D5" t="s">
        <v>112</v>
      </c>
      <c r="E5" s="57">
        <v>15</v>
      </c>
      <c r="G5" t="s">
        <v>114</v>
      </c>
      <c r="H5" s="58">
        <v>0.20083416012688901</v>
      </c>
    </row>
    <row r="6" spans="1:15" x14ac:dyDescent="0.3">
      <c r="A6" t="s">
        <v>107</v>
      </c>
      <c r="B6">
        <v>3000</v>
      </c>
    </row>
    <row r="12" spans="1:15" x14ac:dyDescent="0.3">
      <c r="A12" t="s">
        <v>130</v>
      </c>
      <c r="B12" t="s">
        <v>118</v>
      </c>
      <c r="C12" t="s">
        <v>119</v>
      </c>
      <c r="D12" t="s">
        <v>120</v>
      </c>
      <c r="E12" t="s">
        <v>121</v>
      </c>
      <c r="F12" t="s">
        <v>122</v>
      </c>
      <c r="G12" t="s">
        <v>123</v>
      </c>
      <c r="H12" t="s">
        <v>124</v>
      </c>
      <c r="I12" t="s">
        <v>125</v>
      </c>
      <c r="J12" t="s">
        <v>126</v>
      </c>
      <c r="K12" t="s">
        <v>127</v>
      </c>
      <c r="L12" t="s">
        <v>128</v>
      </c>
      <c r="M12" t="s">
        <v>117</v>
      </c>
      <c r="N12" t="s">
        <v>131</v>
      </c>
      <c r="O12" t="s">
        <v>132</v>
      </c>
    </row>
    <row r="13" spans="1:15" x14ac:dyDescent="0.3">
      <c r="A13">
        <v>0.1</v>
      </c>
      <c r="B13">
        <v>98</v>
      </c>
      <c r="C13">
        <v>4.2171099999999999</v>
      </c>
      <c r="D13">
        <v>2.06405799999999</v>
      </c>
      <c r="E13">
        <v>1.7496099999999899</v>
      </c>
      <c r="F13">
        <v>16.21528</v>
      </c>
      <c r="G13">
        <v>4.2377560000000001</v>
      </c>
      <c r="H13">
        <v>9.2317140000000002</v>
      </c>
      <c r="I13">
        <v>10.78</v>
      </c>
      <c r="J13">
        <v>2534.4</v>
      </c>
      <c r="K13">
        <v>2005.6</v>
      </c>
      <c r="L13">
        <v>1400.8</v>
      </c>
      <c r="M13">
        <v>0.38790682486969502</v>
      </c>
      <c r="N13">
        <v>1.6443165620022899</v>
      </c>
      <c r="O13">
        <v>3.10819046447497</v>
      </c>
    </row>
    <row r="14" spans="1:15" x14ac:dyDescent="0.3">
      <c r="A14">
        <v>0.25</v>
      </c>
      <c r="B14">
        <v>114</v>
      </c>
      <c r="C14">
        <v>5.0333350000000001</v>
      </c>
      <c r="D14">
        <v>2.51111</v>
      </c>
      <c r="E14">
        <v>2.1080549999999998</v>
      </c>
      <c r="F14">
        <v>20.029899999999898</v>
      </c>
      <c r="G14">
        <v>6.1313800000000001</v>
      </c>
      <c r="H14">
        <v>11.73305</v>
      </c>
      <c r="I14">
        <v>12.925000000000001</v>
      </c>
      <c r="J14">
        <v>2669.5</v>
      </c>
      <c r="K14">
        <v>2065.5</v>
      </c>
      <c r="L14">
        <v>1421</v>
      </c>
      <c r="M14">
        <v>0.44726516555809098</v>
      </c>
      <c r="N14">
        <v>2.4488957966473901</v>
      </c>
      <c r="O14">
        <v>5.1637749370022696</v>
      </c>
    </row>
    <row r="15" spans="1:15" x14ac:dyDescent="0.3">
      <c r="A15">
        <v>0.5</v>
      </c>
      <c r="B15">
        <v>138</v>
      </c>
      <c r="C15">
        <v>5.8477800000000002</v>
      </c>
      <c r="D15">
        <v>2.8586100000000001</v>
      </c>
      <c r="E15">
        <v>2.5422199999999999</v>
      </c>
      <c r="F15">
        <v>26.722100000000001</v>
      </c>
      <c r="G15">
        <v>8.3885100000000001</v>
      </c>
      <c r="H15">
        <v>18.6846</v>
      </c>
      <c r="I15">
        <v>14.857100000000001</v>
      </c>
      <c r="J15">
        <v>2876</v>
      </c>
      <c r="K15">
        <v>2106</v>
      </c>
      <c r="L15">
        <v>1435</v>
      </c>
      <c r="M15">
        <v>0.51072935550112297</v>
      </c>
      <c r="N15">
        <v>3.1578057574079801</v>
      </c>
      <c r="O15">
        <v>7.4081816151692603</v>
      </c>
    </row>
    <row r="16" spans="1:15" x14ac:dyDescent="0.3">
      <c r="A16">
        <v>0.75</v>
      </c>
      <c r="B16">
        <v>155</v>
      </c>
      <c r="C16">
        <v>6.3855550000000001</v>
      </c>
      <c r="D16">
        <v>3.32667</v>
      </c>
      <c r="E16">
        <v>2.9934750000000001</v>
      </c>
      <c r="F16">
        <v>34.70825</v>
      </c>
      <c r="G16">
        <v>10.457649999999999</v>
      </c>
      <c r="H16">
        <v>25.715399999999999</v>
      </c>
      <c r="I16">
        <v>16.424999999999901</v>
      </c>
      <c r="J16">
        <v>3005.25</v>
      </c>
      <c r="K16">
        <v>2122</v>
      </c>
      <c r="L16">
        <v>1498</v>
      </c>
      <c r="M16">
        <v>0.56666816368183803</v>
      </c>
      <c r="N16">
        <v>4.1499872986636497</v>
      </c>
      <c r="O16">
        <v>9.9872739883975807</v>
      </c>
    </row>
    <row r="17" spans="1:15" x14ac:dyDescent="0.3">
      <c r="A17">
        <v>0.9</v>
      </c>
      <c r="B17">
        <v>167.2</v>
      </c>
      <c r="C17">
        <v>6.9739399999999998</v>
      </c>
      <c r="D17">
        <v>3.7406139999999999</v>
      </c>
      <c r="E17">
        <v>3.4287779999999999</v>
      </c>
      <c r="F17">
        <v>42.803800000000003</v>
      </c>
      <c r="G17">
        <v>11.66314</v>
      </c>
      <c r="H17">
        <v>33.306080000000001</v>
      </c>
      <c r="I17">
        <v>19.48</v>
      </c>
      <c r="J17">
        <v>3129.6</v>
      </c>
      <c r="K17">
        <v>2130.1999999999998</v>
      </c>
      <c r="L17">
        <v>1665.4</v>
      </c>
      <c r="M17">
        <v>0.61421356060474797</v>
      </c>
      <c r="N17">
        <v>5.29317893447495</v>
      </c>
      <c r="O17">
        <v>13.474285089945001</v>
      </c>
    </row>
    <row r="20" spans="1:15" x14ac:dyDescent="0.3">
      <c r="A20" t="s">
        <v>129</v>
      </c>
      <c r="B20" t="s">
        <v>118</v>
      </c>
      <c r="C20" t="s">
        <v>119</v>
      </c>
      <c r="D20" t="s">
        <v>120</v>
      </c>
      <c r="E20" t="s">
        <v>121</v>
      </c>
      <c r="F20" t="s">
        <v>122</v>
      </c>
      <c r="G20" t="s">
        <v>123</v>
      </c>
      <c r="H20" t="s">
        <v>124</v>
      </c>
      <c r="I20" t="s">
        <v>125</v>
      </c>
      <c r="J20" t="s">
        <v>126</v>
      </c>
      <c r="K20" t="s">
        <v>127</v>
      </c>
      <c r="L20" t="s">
        <v>128</v>
      </c>
      <c r="M20" t="s">
        <v>117</v>
      </c>
      <c r="N20" t="s">
        <v>131</v>
      </c>
      <c r="O20" t="s">
        <v>132</v>
      </c>
    </row>
    <row r="21" spans="1:15" x14ac:dyDescent="0.3">
      <c r="A21">
        <v>0.1</v>
      </c>
      <c r="B21">
        <v>48</v>
      </c>
      <c r="C21">
        <v>2.6313888885000001</v>
      </c>
      <c r="D21">
        <v>0.65788888869999995</v>
      </c>
      <c r="E21">
        <v>1.2329444442999999</v>
      </c>
      <c r="F21">
        <v>12.765760411</v>
      </c>
      <c r="G21">
        <v>1.3036367564</v>
      </c>
      <c r="H21">
        <v>6.8925599249999996</v>
      </c>
      <c r="I21">
        <v>5.6887499999999998</v>
      </c>
      <c r="J21">
        <v>1693.3</v>
      </c>
      <c r="K21">
        <v>1978.9</v>
      </c>
      <c r="L21">
        <v>3</v>
      </c>
      <c r="M21">
        <v>0.20083416012688901</v>
      </c>
      <c r="N21">
        <v>1.98607697637352</v>
      </c>
      <c r="O21">
        <v>3.7127383827948099</v>
      </c>
    </row>
    <row r="22" spans="1:15" x14ac:dyDescent="0.3">
      <c r="A22">
        <v>0.25</v>
      </c>
      <c r="B22">
        <v>72</v>
      </c>
      <c r="C22">
        <v>3.81381944425</v>
      </c>
      <c r="D22">
        <v>1.4434024999999999</v>
      </c>
      <c r="E22">
        <v>1.9142361112499999</v>
      </c>
      <c r="F22">
        <v>19.450499999999899</v>
      </c>
      <c r="G22">
        <v>4.48785149375</v>
      </c>
      <c r="H22">
        <v>11.117107304999999</v>
      </c>
      <c r="I22">
        <v>8.9368421050000002</v>
      </c>
      <c r="J22">
        <v>1947.75</v>
      </c>
      <c r="K22">
        <v>2065.25</v>
      </c>
      <c r="L22">
        <v>3</v>
      </c>
      <c r="M22">
        <v>0.37727283064414402</v>
      </c>
      <c r="N22">
        <v>2.30959745084705</v>
      </c>
      <c r="O22">
        <v>5.73876070523976</v>
      </c>
    </row>
    <row r="23" spans="1:15" x14ac:dyDescent="0.3">
      <c r="A23">
        <v>0.5</v>
      </c>
      <c r="B23">
        <v>106</v>
      </c>
      <c r="C23">
        <v>5.2809749999999998</v>
      </c>
      <c r="D23">
        <v>2.5279161109999899</v>
      </c>
      <c r="E23">
        <v>2.5848599999999999</v>
      </c>
      <c r="F23">
        <v>26.818380560000001</v>
      </c>
      <c r="G23">
        <v>8.1477297289999999</v>
      </c>
      <c r="H23">
        <v>17.281886219999901</v>
      </c>
      <c r="I23">
        <v>12.65</v>
      </c>
      <c r="J23">
        <v>2251.5</v>
      </c>
      <c r="K23">
        <v>2104.5</v>
      </c>
      <c r="L23">
        <v>4</v>
      </c>
      <c r="M23">
        <v>0.49305792888958899</v>
      </c>
      <c r="N23">
        <v>2.83234929452053</v>
      </c>
      <c r="O23">
        <v>7.6404128859815703</v>
      </c>
    </row>
    <row r="24" spans="1:15" x14ac:dyDescent="0.3">
      <c r="A24">
        <v>0.75</v>
      </c>
      <c r="B24">
        <v>136</v>
      </c>
      <c r="C24">
        <v>6.5443749997499996</v>
      </c>
      <c r="D24">
        <v>3.3141005555</v>
      </c>
      <c r="E24">
        <v>3.3070824999999999</v>
      </c>
      <c r="F24">
        <v>36.578536634999999</v>
      </c>
      <c r="G24">
        <v>11.465851882500001</v>
      </c>
      <c r="H24">
        <v>25.010197937499999</v>
      </c>
      <c r="I24">
        <v>16.237500000000001</v>
      </c>
      <c r="J24">
        <v>2676.5</v>
      </c>
      <c r="K24">
        <v>2128</v>
      </c>
      <c r="L24">
        <v>1429</v>
      </c>
      <c r="M24">
        <v>0.59183989391874303</v>
      </c>
      <c r="N24">
        <v>3.28077159148696</v>
      </c>
      <c r="O24">
        <v>9.5743880934438401</v>
      </c>
    </row>
    <row r="25" spans="1:15" x14ac:dyDescent="0.3">
      <c r="A25">
        <v>0.9</v>
      </c>
      <c r="B25">
        <v>159.80000000000001</v>
      </c>
      <c r="C25">
        <v>7.5938333335000001</v>
      </c>
      <c r="D25">
        <v>4.1724166670000002</v>
      </c>
      <c r="E25">
        <v>4.1654999997999997</v>
      </c>
      <c r="F25">
        <v>46.421709548000003</v>
      </c>
      <c r="G25">
        <v>16.074561999</v>
      </c>
      <c r="H25">
        <v>36.641637703000001</v>
      </c>
      <c r="I25">
        <v>19.447857143</v>
      </c>
      <c r="J25">
        <v>2983.9</v>
      </c>
      <c r="K25">
        <v>2143</v>
      </c>
      <c r="L25">
        <v>1651</v>
      </c>
      <c r="M25">
        <v>0.66819843437288096</v>
      </c>
      <c r="N25">
        <v>3.8506829412439698</v>
      </c>
      <c r="O25">
        <v>11.9494258937816</v>
      </c>
    </row>
  </sheetData>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64E2-EE8E-4FDA-AF91-9CB74BC49021}">
  <dimension ref="A1:Y37"/>
  <sheetViews>
    <sheetView workbookViewId="0">
      <selection activeCell="J30" sqref="J30"/>
    </sheetView>
  </sheetViews>
  <sheetFormatPr defaultRowHeight="14.4" x14ac:dyDescent="0.3"/>
  <cols>
    <col min="1" max="1" width="32.6640625" bestFit="1" customWidth="1"/>
  </cols>
  <sheetData>
    <row r="1" spans="1:25" ht="18" x14ac:dyDescent="0.35">
      <c r="A1" s="22" t="s">
        <v>75</v>
      </c>
      <c r="B1" s="22"/>
      <c r="C1" s="22"/>
      <c r="D1" s="22"/>
      <c r="E1" s="22"/>
      <c r="F1" s="22" t="s">
        <v>35</v>
      </c>
      <c r="G1" s="10">
        <f>Backend!K4</f>
        <v>0.75183477676920596</v>
      </c>
      <c r="H1" s="10">
        <f>Backend!K5</f>
        <v>-2.1833924057617901E-2</v>
      </c>
      <c r="I1" s="10">
        <f>Backend!K6</f>
        <v>0</v>
      </c>
      <c r="J1" s="10">
        <f>Backend!K7</f>
        <v>-8.0027559890269606E-2</v>
      </c>
      <c r="K1" s="10">
        <f>Backend!K8</f>
        <v>0</v>
      </c>
      <c r="L1" s="10">
        <f>Backend!K10</f>
        <v>0.43723595450243802</v>
      </c>
      <c r="O1" s="36"/>
    </row>
    <row r="2" spans="1:25" x14ac:dyDescent="0.3">
      <c r="A2" s="24"/>
      <c r="B2" s="24"/>
      <c r="C2" s="24"/>
      <c r="D2" s="24"/>
      <c r="E2" s="24"/>
      <c r="F2" s="24"/>
      <c r="G2" s="24"/>
      <c r="H2" s="24"/>
      <c r="I2" s="24"/>
      <c r="J2" s="24"/>
      <c r="K2" s="24"/>
      <c r="O2" s="36"/>
    </row>
    <row r="3" spans="1:25" ht="18" x14ac:dyDescent="0.35">
      <c r="A3" s="22" t="s">
        <v>65</v>
      </c>
      <c r="B3" s="25"/>
      <c r="C3" s="25"/>
      <c r="D3" s="25"/>
      <c r="E3" s="28" t="s">
        <v>76</v>
      </c>
      <c r="F3" s="25"/>
      <c r="G3" s="28" t="s">
        <v>77</v>
      </c>
      <c r="H3" s="25"/>
      <c r="I3" s="25"/>
      <c r="J3" s="25"/>
      <c r="K3" s="25"/>
      <c r="O3" s="36"/>
      <c r="Q3" s="28" t="s">
        <v>80</v>
      </c>
      <c r="R3" s="25"/>
      <c r="S3" s="25"/>
      <c r="T3" s="25"/>
      <c r="U3" s="25"/>
      <c r="Y3" s="36"/>
    </row>
    <row r="4" spans="1:25" x14ac:dyDescent="0.3">
      <c r="B4" t="s">
        <v>24</v>
      </c>
      <c r="C4" t="s">
        <v>25</v>
      </c>
      <c r="D4" s="25"/>
      <c r="E4" s="25"/>
      <c r="F4" s="25"/>
      <c r="G4" s="2" t="s">
        <v>20</v>
      </c>
      <c r="H4" s="2" t="s">
        <v>19</v>
      </c>
      <c r="I4" s="2" t="s">
        <v>1</v>
      </c>
      <c r="J4" s="2" t="s">
        <v>21</v>
      </c>
      <c r="K4" s="2" t="s">
        <v>70</v>
      </c>
      <c r="L4" s="2" t="s">
        <v>74</v>
      </c>
      <c r="N4" s="2" t="s">
        <v>78</v>
      </c>
      <c r="O4" s="37" t="s">
        <v>79</v>
      </c>
      <c r="Q4" s="2" t="s">
        <v>20</v>
      </c>
      <c r="R4" s="2" t="s">
        <v>19</v>
      </c>
      <c r="S4" s="2" t="s">
        <v>1</v>
      </c>
      <c r="T4" s="2" t="s">
        <v>21</v>
      </c>
      <c r="U4" s="2" t="s">
        <v>70</v>
      </c>
      <c r="V4" s="2" t="s">
        <v>74</v>
      </c>
      <c r="X4" s="2" t="s">
        <v>82</v>
      </c>
      <c r="Y4" s="37" t="s">
        <v>83</v>
      </c>
    </row>
    <row r="5" spans="1:25" x14ac:dyDescent="0.3">
      <c r="A5" s="3" t="s">
        <v>23</v>
      </c>
      <c r="B5" s="29">
        <f>Backend!C4</f>
        <v>1.1286111109999999</v>
      </c>
      <c r="C5" s="11">
        <f>Backend!D4</f>
        <v>18.32111111</v>
      </c>
      <c r="D5" s="25"/>
      <c r="E5" s="30">
        <f>Calculator!E6</f>
        <v>5.8</v>
      </c>
      <c r="F5" s="25"/>
      <c r="G5">
        <f>E$6/B$5</f>
        <v>23.657396015127482</v>
      </c>
      <c r="H5" s="25">
        <f>G5^2</f>
        <v>559.67238621656963</v>
      </c>
      <c r="I5" s="25">
        <f>E$9</f>
        <v>16</v>
      </c>
      <c r="J5" s="25">
        <f>I5^2</f>
        <v>256</v>
      </c>
      <c r="K5" s="25">
        <f>E$7</f>
        <v>0.5</v>
      </c>
      <c r="L5">
        <f>E$8</f>
        <v>2876</v>
      </c>
      <c r="N5">
        <f>(SUMPRODUCT(G12:L12,G$1:L$1)+Backend!$K$11)*SQRT(Backend!$I$12)+Backend!$H$12</f>
        <v>53.188306333243133</v>
      </c>
      <c r="O5" s="36">
        <f>N5*$B$5</f>
        <v>60.028913502969864</v>
      </c>
      <c r="Q5">
        <f>E$6/C$5</f>
        <v>1.4573351932474579</v>
      </c>
      <c r="R5" s="25">
        <f>Q5^2</f>
        <v>2.1238258654776052</v>
      </c>
      <c r="S5" s="25">
        <f>E$9</f>
        <v>16</v>
      </c>
      <c r="T5" s="25">
        <f>S5^2</f>
        <v>256</v>
      </c>
      <c r="U5" s="25">
        <f>E$7</f>
        <v>0.5</v>
      </c>
      <c r="V5">
        <f>E$8</f>
        <v>2876</v>
      </c>
      <c r="X5">
        <f>(SUMPRODUCT(Q12:V12,G$1:L$1)+Backend!$K$11)*SQRT(Backend!$I$12)+Backend!$H$12</f>
        <v>16.467584346124486</v>
      </c>
      <c r="Y5" s="36">
        <f>X5*$C$5</f>
        <v>301.70444251864342</v>
      </c>
    </row>
    <row r="6" spans="1:25" x14ac:dyDescent="0.3">
      <c r="A6" s="4" t="s">
        <v>22</v>
      </c>
      <c r="B6" s="11">
        <f>Backend!C5</f>
        <v>4.5391165429999996</v>
      </c>
      <c r="C6" s="11">
        <f>Backend!D5</f>
        <v>96.663609170000001</v>
      </c>
      <c r="D6" s="24"/>
      <c r="E6" s="30">
        <f>Calculator!E7</f>
        <v>26.7</v>
      </c>
      <c r="F6" s="24"/>
      <c r="G6">
        <f>B$6/E$5</f>
        <v>0.78260630051724134</v>
      </c>
      <c r="H6" s="25">
        <f t="shared" ref="H6:H9" si="0">G6^2</f>
        <v>0.61247262160928262</v>
      </c>
      <c r="I6" s="25">
        <f>E$9</f>
        <v>16</v>
      </c>
      <c r="J6" s="25">
        <f t="shared" ref="J6:J9" si="1">I6^2</f>
        <v>256</v>
      </c>
      <c r="K6" s="25">
        <f>E$7</f>
        <v>0.5</v>
      </c>
      <c r="L6">
        <f>E$8</f>
        <v>2876</v>
      </c>
      <c r="N6">
        <f>(SUMPRODUCT(G13:L13,G$1:L$1)+Backend!$K$11)*SQRT(Backend!$I$12)+Backend!$H$12</f>
        <v>15.313812217845744</v>
      </c>
      <c r="O6" s="36">
        <f>N6*E$5</f>
        <v>88.820110863505306</v>
      </c>
      <c r="Q6">
        <f>C$6/E$5</f>
        <v>16.666139512068966</v>
      </c>
      <c r="R6" s="25">
        <f t="shared" ref="R6:R9" si="2">Q6^2</f>
        <v>277.76020623574641</v>
      </c>
      <c r="S6" s="25">
        <f>E$9</f>
        <v>16</v>
      </c>
      <c r="T6" s="25">
        <f t="shared" ref="T6:T9" si="3">S6^2</f>
        <v>256</v>
      </c>
      <c r="U6" s="25">
        <f>E$7</f>
        <v>0.5</v>
      </c>
      <c r="V6">
        <f>E$8</f>
        <v>2876</v>
      </c>
      <c r="X6">
        <f>(SUMPRODUCT(Q13:V13,G$1:L$1)+Backend!$K$11)*SQRT(Backend!$I$12)+Backend!$H$12</f>
        <v>41.884018984002722</v>
      </c>
      <c r="Y6" s="36">
        <f>X6*$E$5</f>
        <v>242.92731010721579</v>
      </c>
    </row>
    <row r="7" spans="1:25" x14ac:dyDescent="0.3">
      <c r="A7" s="4" t="s">
        <v>69</v>
      </c>
      <c r="B7" s="11">
        <f>Backend!C6</f>
        <v>3.09465769346975E-2</v>
      </c>
      <c r="C7" s="11">
        <f>Backend!D6</f>
        <v>0.88803282832433195</v>
      </c>
      <c r="D7" s="26"/>
      <c r="E7" s="30">
        <f>Calculator!E8</f>
        <v>0.5</v>
      </c>
      <c r="F7" s="26"/>
      <c r="G7">
        <f t="shared" ref="G7:G8" si="4">E$6/E$5</f>
        <v>4.6034482758620694</v>
      </c>
      <c r="H7" s="25">
        <f t="shared" si="0"/>
        <v>21.191736028537459</v>
      </c>
      <c r="I7" s="25">
        <f>E$9</f>
        <v>16</v>
      </c>
      <c r="J7" s="25">
        <f t="shared" si="1"/>
        <v>256</v>
      </c>
      <c r="K7" s="31">
        <f>B$7</f>
        <v>3.09465769346975E-2</v>
      </c>
      <c r="L7">
        <f>E$8</f>
        <v>2876</v>
      </c>
      <c r="N7">
        <f>(SUMPRODUCT(G14:L14,G$1:L$1)+Backend!$K$11)*SQRT(Backend!$I$12)+Backend!$H$12</f>
        <v>21.817997133752463</v>
      </c>
      <c r="O7" s="36">
        <f>N7*E$5</f>
        <v>126.54438337576428</v>
      </c>
      <c r="Q7">
        <f>E$6/E$5</f>
        <v>4.6034482758620694</v>
      </c>
      <c r="R7" s="25">
        <f t="shared" si="2"/>
        <v>21.191736028537459</v>
      </c>
      <c r="S7" s="25">
        <f>E$9</f>
        <v>16</v>
      </c>
      <c r="T7" s="25">
        <f t="shared" si="3"/>
        <v>256</v>
      </c>
      <c r="U7" s="31">
        <f>C7</f>
        <v>0.88803282832433195</v>
      </c>
      <c r="V7">
        <f>E$8</f>
        <v>2876</v>
      </c>
      <c r="X7">
        <f>(SUMPRODUCT(Q14:V14,G$1:L$1)+Backend!$K$11)*SQRT(Backend!$I$12)+Backend!$H$12</f>
        <v>21.817997133752463</v>
      </c>
      <c r="Y7" s="36">
        <f t="shared" ref="Y7:Y9" si="5">X7*$E$5</f>
        <v>126.54438337576428</v>
      </c>
    </row>
    <row r="8" spans="1:25" x14ac:dyDescent="0.3">
      <c r="A8" s="4" t="s">
        <v>73</v>
      </c>
      <c r="B8" s="11">
        <f>Backend!C7</f>
        <v>119</v>
      </c>
      <c r="C8" s="11">
        <f>Backend!D7</f>
        <v>3620</v>
      </c>
      <c r="D8" s="26"/>
      <c r="E8" s="30">
        <f>Calculator!E9</f>
        <v>2876</v>
      </c>
      <c r="F8" s="26"/>
      <c r="G8">
        <f t="shared" si="4"/>
        <v>4.6034482758620694</v>
      </c>
      <c r="H8" s="25">
        <f t="shared" si="0"/>
        <v>21.191736028537459</v>
      </c>
      <c r="I8" s="25">
        <f>E$9</f>
        <v>16</v>
      </c>
      <c r="J8" s="25">
        <f t="shared" si="1"/>
        <v>256</v>
      </c>
      <c r="K8" s="25">
        <f>E$7</f>
        <v>0.5</v>
      </c>
      <c r="L8" s="32">
        <f>B$8</f>
        <v>119</v>
      </c>
      <c r="N8">
        <f>(SUMPRODUCT(G15:L15,G$1:L$1)+Backend!$K$11)*SQRT(Backend!$I$12)+Backend!$H$12</f>
        <v>6.912886740777461</v>
      </c>
      <c r="O8" s="36">
        <f>N8*E$5</f>
        <v>40.094743096509269</v>
      </c>
      <c r="Q8">
        <f>E$6/E$5</f>
        <v>4.6034482758620694</v>
      </c>
      <c r="R8" s="25">
        <f t="shared" si="2"/>
        <v>21.191736028537459</v>
      </c>
      <c r="S8" s="25">
        <f>E$9</f>
        <v>16</v>
      </c>
      <c r="T8" s="25">
        <f t="shared" si="3"/>
        <v>256</v>
      </c>
      <c r="U8" s="25">
        <f>E$7</f>
        <v>0.5</v>
      </c>
      <c r="V8" s="32">
        <f>C8</f>
        <v>3620</v>
      </c>
      <c r="X8">
        <f>(SUMPRODUCT(Q15:V15,G$1:L$1)+Backend!$K$11)*SQRT(Backend!$I$12)+Backend!$H$12</f>
        <v>25.840268491160298</v>
      </c>
      <c r="Y8" s="36">
        <f t="shared" si="5"/>
        <v>149.87355724872972</v>
      </c>
    </row>
    <row r="9" spans="1:25" ht="16.2" x14ac:dyDescent="0.3">
      <c r="A9" s="5" t="s">
        <v>55</v>
      </c>
      <c r="B9" s="11">
        <f>Backend!C8</f>
        <v>1.5</v>
      </c>
      <c r="C9" s="11">
        <f>Backend!D8</f>
        <v>29.52</v>
      </c>
      <c r="D9" s="26"/>
      <c r="E9" s="30">
        <f>Calculator!E10</f>
        <v>16</v>
      </c>
      <c r="F9" s="26"/>
      <c r="G9">
        <f>E$6/E$5</f>
        <v>4.6034482758620694</v>
      </c>
      <c r="H9" s="25">
        <f t="shared" si="0"/>
        <v>21.191736028537459</v>
      </c>
      <c r="I9" s="31">
        <f>B$9</f>
        <v>1.5</v>
      </c>
      <c r="J9" s="25">
        <f t="shared" si="1"/>
        <v>2.25</v>
      </c>
      <c r="K9" s="25">
        <f>E$7</f>
        <v>0.5</v>
      </c>
      <c r="L9">
        <f>E$8</f>
        <v>2876</v>
      </c>
      <c r="N9">
        <f>(SUMPRODUCT(G16:L16,G$1:L$1)+Backend!$K$11)*SQRT(Backend!$I$12)+Backend!$H$12</f>
        <v>22.764981221222428</v>
      </c>
      <c r="O9" s="36">
        <f>N9*E$5</f>
        <v>132.03689108309007</v>
      </c>
      <c r="Q9">
        <f>E$6/E$5</f>
        <v>4.6034482758620694</v>
      </c>
      <c r="R9" s="25">
        <f t="shared" si="2"/>
        <v>21.191736028537459</v>
      </c>
      <c r="S9" s="31">
        <f>C9</f>
        <v>29.52</v>
      </c>
      <c r="T9" s="25">
        <f t="shared" si="3"/>
        <v>871.43039999999996</v>
      </c>
      <c r="U9" s="25">
        <f>E$7</f>
        <v>0.5</v>
      </c>
      <c r="V9">
        <f>E$8</f>
        <v>2876</v>
      </c>
      <c r="X9">
        <f>(SUMPRODUCT(Q16:V16,G$1:L$1)+Backend!$K$11)*SQRT(Backend!$I$12)+Backend!$H$12</f>
        <v>19.521237347564185</v>
      </c>
      <c r="Y9" s="36">
        <f t="shared" si="5"/>
        <v>113.22317661587226</v>
      </c>
    </row>
    <row r="10" spans="1:25" x14ac:dyDescent="0.3">
      <c r="A10" s="24"/>
      <c r="B10" s="24"/>
      <c r="C10" s="24"/>
      <c r="D10" s="24"/>
      <c r="E10" s="24"/>
      <c r="F10" s="24"/>
      <c r="H10" s="24"/>
      <c r="I10" s="24"/>
      <c r="J10" s="24"/>
      <c r="K10" s="24"/>
      <c r="R10" s="24"/>
      <c r="S10" s="24"/>
      <c r="T10" s="24"/>
      <c r="U10" s="24"/>
    </row>
    <row r="11" spans="1:25" x14ac:dyDescent="0.3">
      <c r="A11" s="24"/>
      <c r="B11" s="26"/>
      <c r="C11" s="27"/>
      <c r="D11" s="27"/>
      <c r="E11" s="27"/>
      <c r="F11" s="27"/>
      <c r="G11" s="27" t="s">
        <v>86</v>
      </c>
      <c r="H11" s="27"/>
      <c r="I11" s="27"/>
      <c r="J11" s="27"/>
      <c r="K11" s="27"/>
      <c r="Q11" s="27" t="s">
        <v>81</v>
      </c>
      <c r="R11" s="27"/>
      <c r="S11" s="27"/>
      <c r="T11" s="27"/>
      <c r="U11" s="27"/>
    </row>
    <row r="12" spans="1:25" x14ac:dyDescent="0.3">
      <c r="A12" s="24"/>
      <c r="B12" s="26"/>
      <c r="C12" s="26"/>
      <c r="D12" s="26"/>
      <c r="E12" s="26"/>
      <c r="F12" s="26"/>
      <c r="G12" s="33">
        <f>(G5-Backend!$H$4)/SQRT(Backend!$I$4)</f>
        <v>6.1596271292526952</v>
      </c>
      <c r="H12" s="33">
        <f>(H5-Backend!$H$5)/SQRT(Backend!$I$5)</f>
        <v>8.7701000064239221</v>
      </c>
      <c r="I12" s="33">
        <f>(I5-Backend!$H$6)/SQRT(Backend!$I$6)</f>
        <v>0.6223192215693335</v>
      </c>
      <c r="J12" s="33">
        <f>(J5-Backend!$H$7)/SQRT(Backend!$I$7)</f>
        <v>0.4655045021880338</v>
      </c>
      <c r="K12" s="33">
        <f>(K5-Backend!$H$8)/SQRT(Backend!$I$8)</f>
        <v>0.13212381480874069</v>
      </c>
      <c r="L12" s="33">
        <f>(L5-Backend!$H$10)/SQRT(Backend!$I$10)</f>
        <v>1.076270126886022</v>
      </c>
      <c r="Q12" s="33">
        <f>(Q5-Backend!$H$4)/SQRT(Backend!$I$4)</f>
        <v>-1.514968780679911</v>
      </c>
      <c r="R12" s="33">
        <f>(R5-Backend!$H$5)/SQRT(Backend!$I$5)</f>
        <v>-0.68412202617740148</v>
      </c>
      <c r="S12" s="33">
        <f>(S5-Backend!$H$6)/SQRT(Backend!$I$6)</f>
        <v>0.6223192215693335</v>
      </c>
      <c r="T12" s="33">
        <f>(T5-Backend!$H$7)/SQRT(Backend!$I$7)</f>
        <v>0.4655045021880338</v>
      </c>
      <c r="U12" s="33">
        <f>(U5-Backend!$H$8)/SQRT(Backend!$I$8)</f>
        <v>0.13212381480874069</v>
      </c>
      <c r="V12" s="33">
        <f>(V5-Backend!$H$10)/SQRT(Backend!$I$10)</f>
        <v>1.076270126886022</v>
      </c>
    </row>
    <row r="13" spans="1:25" x14ac:dyDescent="0.3">
      <c r="A13" s="24"/>
      <c r="B13" s="26"/>
      <c r="C13" s="26"/>
      <c r="D13" s="26"/>
      <c r="E13" s="26"/>
      <c r="F13" s="26"/>
      <c r="G13" s="33">
        <f>(G6-Backend!$H$4)/SQRT(Backend!$I$4)</f>
        <v>-1.7482236191241847</v>
      </c>
      <c r="H13" s="33">
        <f>(H6-Backend!$H$5)/SQRT(Backend!$I$5)</f>
        <v>-0.70974969370868468</v>
      </c>
      <c r="I13" s="33">
        <f>(I6-Backend!$H$6)/SQRT(Backend!$I$6)</f>
        <v>0.6223192215693335</v>
      </c>
      <c r="J13" s="33">
        <f>(J6-Backend!$H$7)/SQRT(Backend!$I$7)</f>
        <v>0.4655045021880338</v>
      </c>
      <c r="K13" s="33">
        <f>(K6-Backend!$H$8)/SQRT(Backend!$I$8)</f>
        <v>0.13212381480874069</v>
      </c>
      <c r="L13" s="33">
        <f>(L6-Backend!$H$10)/SQRT(Backend!$I$10)</f>
        <v>1.076270126886022</v>
      </c>
      <c r="Q13" s="33">
        <f>(Q6-Backend!$H$4)/SQRT(Backend!$I$4)</f>
        <v>3.7427387705153605</v>
      </c>
      <c r="R13" s="33">
        <f>(R6-Backend!$H$5)/SQRT(Backend!$I$5)</f>
        <v>3.9897803486078627</v>
      </c>
      <c r="S13" s="33">
        <f>(S6-Backend!$H$6)/SQRT(Backend!$I$6)</f>
        <v>0.6223192215693335</v>
      </c>
      <c r="T13" s="33">
        <f>(T6-Backend!$H$7)/SQRT(Backend!$I$7)</f>
        <v>0.4655045021880338</v>
      </c>
      <c r="U13" s="33">
        <f>(U6-Backend!$H$8)/SQRT(Backend!$I$8)</f>
        <v>0.13212381480874069</v>
      </c>
      <c r="V13" s="33">
        <f>(V6-Backend!$H$10)/SQRT(Backend!$I$10)</f>
        <v>1.076270126886022</v>
      </c>
    </row>
    <row r="14" spans="1:25" x14ac:dyDescent="0.3">
      <c r="A14" s="24"/>
      <c r="B14" s="26"/>
      <c r="C14" s="26"/>
      <c r="D14" s="26"/>
      <c r="E14" s="26"/>
      <c r="F14" s="26"/>
      <c r="G14" s="33">
        <f>(G7-Backend!$H$4)/SQRT(Backend!$I$4)</f>
        <v>-0.42735254441165305</v>
      </c>
      <c r="H14" s="33">
        <f>(H7-Backend!$H$5)/SQRT(Backend!$I$5)</f>
        <v>-0.36079188204476392</v>
      </c>
      <c r="I14" s="33">
        <f>(I7-Backend!$H$6)/SQRT(Backend!$I$6)</f>
        <v>0.6223192215693335</v>
      </c>
      <c r="J14" s="33">
        <f>(J7-Backend!$H$7)/SQRT(Backend!$I$7)</f>
        <v>0.4655045021880338</v>
      </c>
      <c r="K14" s="33">
        <f>(K7-Backend!$H$8)/SQRT(Backend!$I$8)</f>
        <v>-2.6989020065138258</v>
      </c>
      <c r="L14" s="33">
        <f>(L7-Backend!$H$10)/SQRT(Backend!$I$10)</f>
        <v>1.076270126886022</v>
      </c>
      <c r="Q14" s="33">
        <f>(Q7-Backend!$H$4)/SQRT(Backend!$I$4)</f>
        <v>-0.42735254441165305</v>
      </c>
      <c r="R14" s="33">
        <f>(R7-Backend!$H$5)/SQRT(Backend!$I$5)</f>
        <v>-0.36079188204476392</v>
      </c>
      <c r="S14" s="33">
        <f>(S7-Backend!$H$6)/SQRT(Backend!$I$6)</f>
        <v>0.6223192215693335</v>
      </c>
      <c r="T14" s="33">
        <f>(T7-Backend!$H$7)/SQRT(Backend!$I$7)</f>
        <v>0.4655045021880338</v>
      </c>
      <c r="U14" s="33">
        <f>(U7-Backend!$H$8)/SQRT(Backend!$I$8)</f>
        <v>2.4741405286577103</v>
      </c>
      <c r="V14" s="33">
        <f>(V7-Backend!$H$10)/SQRT(Backend!$I$10)</f>
        <v>1.076270126886022</v>
      </c>
    </row>
    <row r="15" spans="1:25" x14ac:dyDescent="0.3">
      <c r="A15" s="24"/>
      <c r="B15" s="26"/>
      <c r="C15" s="26"/>
      <c r="D15" s="26"/>
      <c r="E15" s="26"/>
      <c r="F15" s="26"/>
      <c r="G15" s="33">
        <f>(G8-Backend!$H$4)/SQRT(Backend!$I$4)</f>
        <v>-0.42735254441165305</v>
      </c>
      <c r="H15" s="33">
        <f>(H8-Backend!$H$5)/SQRT(Backend!$I$5)</f>
        <v>-0.36079188204476392</v>
      </c>
      <c r="I15" s="33">
        <f>(I8-Backend!$H$6)/SQRT(Backend!$I$6)</f>
        <v>0.6223192215693335</v>
      </c>
      <c r="J15" s="33">
        <f>(J8-Backend!$H$7)/SQRT(Backend!$I$7)</f>
        <v>0.4655045021880338</v>
      </c>
      <c r="K15" s="33">
        <f>(K8-Backend!$H$8)/SQRT(Backend!$I$8)</f>
        <v>0.13212381480874069</v>
      </c>
      <c r="L15" s="33">
        <f>(L8-Backend!$H$10)/SQRT(Backend!$I$10)</f>
        <v>-4.0886597917557008</v>
      </c>
      <c r="Q15" s="33">
        <f>(Q8-Backend!$H$4)/SQRT(Backend!$I$4)</f>
        <v>-0.42735254441165305</v>
      </c>
      <c r="R15" s="33">
        <f>(R8-Backend!$H$5)/SQRT(Backend!$I$5)</f>
        <v>-0.36079188204476392</v>
      </c>
      <c r="S15" s="33">
        <f>(S8-Backend!$H$6)/SQRT(Backend!$I$6)</f>
        <v>0.6223192215693335</v>
      </c>
      <c r="T15" s="33">
        <f>(T8-Backend!$H$7)/SQRT(Backend!$I$7)</f>
        <v>0.4655045021880338</v>
      </c>
      <c r="U15" s="33">
        <f>(U8-Backend!$H$8)/SQRT(Backend!$I$8)</f>
        <v>0.13212381480874069</v>
      </c>
      <c r="V15" s="33">
        <f>(V8-Backend!$H$10)/SQRT(Backend!$I$10)</f>
        <v>2.4700705837120798</v>
      </c>
    </row>
    <row r="16" spans="1:25" x14ac:dyDescent="0.3">
      <c r="A16" s="24"/>
      <c r="B16" s="26"/>
      <c r="C16" s="26"/>
      <c r="D16" s="26"/>
      <c r="E16" s="26"/>
      <c r="F16" s="26"/>
      <c r="G16" s="33">
        <f>(G9-Backend!$H$4)/SQRT(Backend!$I$4)</f>
        <v>-0.42735254441165305</v>
      </c>
      <c r="H16" s="33">
        <f>(H9-Backend!$H$5)/SQRT(Backend!$I$5)</f>
        <v>-0.36079188204476392</v>
      </c>
      <c r="I16" s="33">
        <f>(I9-Backend!$H$6)/SQRT(Backend!$I$6)</f>
        <v>-2.1815167041705865</v>
      </c>
      <c r="J16" s="33">
        <f>(J9-Backend!$H$7)/SQRT(Backend!$I$7)</f>
        <v>-1.3273630606592377</v>
      </c>
      <c r="K16" s="33">
        <f>(K9-Backend!$H$8)/SQRT(Backend!$I$8)</f>
        <v>0.13212381480874069</v>
      </c>
      <c r="L16" s="33">
        <f>(L9-Backend!$H$10)/SQRT(Backend!$I$10)</f>
        <v>1.076270126886022</v>
      </c>
      <c r="Q16" s="33">
        <f>(Q9-Backend!$H$4)/SQRT(Backend!$I$4)</f>
        <v>-0.42735254441165305</v>
      </c>
      <c r="R16" s="33">
        <f>(R9-Backend!$H$5)/SQRT(Backend!$I$5)</f>
        <v>-0.36079188204476392</v>
      </c>
      <c r="S16" s="33">
        <f>(S9-Backend!$H$6)/SQRT(Backend!$I$6)</f>
        <v>3.2366545123282102</v>
      </c>
      <c r="T16" s="33">
        <f>(T9-Backend!$H$7)/SQRT(Backend!$I$7)</f>
        <v>4.8138205666220095</v>
      </c>
      <c r="U16" s="33">
        <f>(U9-Backend!$H$8)/SQRT(Backend!$I$8)</f>
        <v>0.13212381480874069</v>
      </c>
      <c r="V16" s="33">
        <f>(V9-Backend!$H$10)/SQRT(Backend!$I$10)</f>
        <v>1.076270126886022</v>
      </c>
    </row>
    <row r="17" spans="1:13" x14ac:dyDescent="0.3">
      <c r="A17" s="24"/>
      <c r="B17" s="26"/>
      <c r="C17" s="26"/>
      <c r="D17" s="26"/>
      <c r="E17" s="26"/>
      <c r="F17" s="26"/>
      <c r="G17" s="33"/>
      <c r="H17" s="33"/>
      <c r="I17" s="33"/>
      <c r="J17" s="33"/>
      <c r="K17" s="33"/>
      <c r="L17" s="33"/>
    </row>
    <row r="18" spans="1:13" x14ac:dyDescent="0.3">
      <c r="A18" s="24"/>
      <c r="B18" s="26"/>
      <c r="C18" s="26"/>
      <c r="D18" s="26"/>
      <c r="E18" s="26"/>
      <c r="F18" s="26"/>
      <c r="G18">
        <f>E$6/E$5</f>
        <v>4.6034482758620694</v>
      </c>
      <c r="H18" s="25">
        <f t="shared" ref="H18" si="6">G18^2</f>
        <v>21.191736028537459</v>
      </c>
      <c r="I18" s="31">
        <f>E$9</f>
        <v>16</v>
      </c>
      <c r="J18" s="36">
        <f>I18^2</f>
        <v>256</v>
      </c>
      <c r="K18" s="25">
        <f>E$7</f>
        <v>0.5</v>
      </c>
      <c r="L18">
        <f>E$8</f>
        <v>2876</v>
      </c>
      <c r="M18" s="26" t="s">
        <v>85</v>
      </c>
    </row>
    <row r="19" spans="1:13" x14ac:dyDescent="0.3">
      <c r="A19" s="24"/>
      <c r="B19" s="26"/>
      <c r="C19" s="26"/>
      <c r="D19" s="26"/>
      <c r="E19" s="26"/>
      <c r="F19" s="26"/>
      <c r="G19" s="33">
        <f>(G18-Backend!$H$4)/SQRT(Backend!$I$4)</f>
        <v>-0.42735254441165305</v>
      </c>
      <c r="H19" s="33">
        <f>(H18-Backend!$H$5)/SQRT(Backend!$I$5)</f>
        <v>-0.36079188204476392</v>
      </c>
      <c r="I19" s="33">
        <f>(I18-Backend!$H$6)/SQRT(Backend!$I$6)</f>
        <v>0.6223192215693335</v>
      </c>
      <c r="J19" s="33">
        <f>(J18-Backend!$H$7)/SQRT(Backend!$I$7)</f>
        <v>0.4655045021880338</v>
      </c>
      <c r="K19" s="33">
        <f>(K18-Backend!$H$8)/SQRT(Backend!$I$8)</f>
        <v>0.13212381480874069</v>
      </c>
      <c r="L19" s="33">
        <f>(L18-Backend!$H$10)/SQRT(Backend!$I$10)</f>
        <v>1.076270126886022</v>
      </c>
      <c r="M19" s="26" t="s">
        <v>87</v>
      </c>
    </row>
    <row r="20" spans="1:13" x14ac:dyDescent="0.3">
      <c r="A20" s="24"/>
      <c r="B20" s="26"/>
      <c r="C20" s="26"/>
      <c r="D20" s="26"/>
      <c r="E20" s="26"/>
      <c r="F20" s="26"/>
      <c r="G20" s="35"/>
      <c r="H20" s="26"/>
      <c r="I20" s="26"/>
      <c r="J20" s="26"/>
      <c r="K20" s="26"/>
    </row>
    <row r="21" spans="1:13" x14ac:dyDescent="0.3">
      <c r="A21" s="24"/>
      <c r="B21" s="26"/>
      <c r="C21" s="26"/>
      <c r="D21" s="26"/>
      <c r="E21" s="26"/>
      <c r="F21" s="26"/>
      <c r="G21" s="35"/>
      <c r="H21" s="26"/>
      <c r="I21" s="26"/>
      <c r="J21" s="26"/>
      <c r="K21" s="26"/>
    </row>
    <row r="22" spans="1:13" x14ac:dyDescent="0.3">
      <c r="A22" s="24"/>
      <c r="B22" s="26"/>
      <c r="C22" s="26"/>
      <c r="D22" s="26"/>
      <c r="E22" s="26"/>
      <c r="F22" s="26"/>
      <c r="G22" s="35"/>
      <c r="H22" s="26"/>
      <c r="I22" s="26"/>
      <c r="J22" s="26"/>
      <c r="K22" s="26"/>
    </row>
    <row r="23" spans="1:13" x14ac:dyDescent="0.3">
      <c r="A23" s="24"/>
      <c r="B23" s="26"/>
      <c r="C23" s="26"/>
      <c r="D23" s="26"/>
      <c r="E23" s="26"/>
      <c r="F23" s="26"/>
      <c r="G23" s="35"/>
      <c r="H23" s="26"/>
      <c r="I23" s="26"/>
      <c r="J23" s="26"/>
      <c r="K23" s="26"/>
    </row>
    <row r="24" spans="1:13" x14ac:dyDescent="0.3">
      <c r="A24" s="24"/>
      <c r="B24" s="25"/>
      <c r="C24" s="27"/>
      <c r="D24" s="27"/>
      <c r="E24" s="27"/>
      <c r="F24" s="27"/>
      <c r="G24" s="35"/>
      <c r="H24" s="26"/>
      <c r="I24" s="26"/>
      <c r="J24" s="26"/>
      <c r="K24" s="26"/>
    </row>
    <row r="25" spans="1:13" x14ac:dyDescent="0.3">
      <c r="A25" s="24"/>
      <c r="B25" s="25"/>
      <c r="C25" s="27"/>
      <c r="D25" s="27"/>
      <c r="E25" s="27"/>
      <c r="F25" s="27"/>
      <c r="G25" s="35"/>
      <c r="H25" s="27"/>
      <c r="I25" s="27"/>
      <c r="J25" s="27"/>
      <c r="K25" s="27"/>
    </row>
    <row r="26" spans="1:13" x14ac:dyDescent="0.3">
      <c r="A26" s="24"/>
      <c r="B26" s="24"/>
      <c r="C26" s="24"/>
      <c r="D26" s="24"/>
      <c r="E26" s="24"/>
      <c r="F26" s="24"/>
      <c r="G26" s="35"/>
      <c r="H26" s="24"/>
      <c r="I26" s="24"/>
      <c r="J26" s="24"/>
      <c r="K26" s="24"/>
    </row>
    <row r="27" spans="1:13" x14ac:dyDescent="0.3">
      <c r="A27" s="24"/>
      <c r="B27" s="24"/>
      <c r="C27" s="24"/>
      <c r="D27" s="24"/>
      <c r="E27" s="24"/>
      <c r="F27" s="24"/>
      <c r="G27" s="27"/>
      <c r="H27" s="27"/>
      <c r="I27" s="27"/>
      <c r="J27" s="27"/>
      <c r="K27" s="27"/>
    </row>
    <row r="28" spans="1:13" x14ac:dyDescent="0.3">
      <c r="A28" s="24"/>
      <c r="B28" s="26"/>
      <c r="C28" s="26"/>
      <c r="D28" s="26"/>
      <c r="E28" s="26"/>
      <c r="F28" s="26"/>
    </row>
    <row r="29" spans="1:13" x14ac:dyDescent="0.3">
      <c r="A29" s="24"/>
      <c r="B29" s="26"/>
      <c r="C29" s="26"/>
      <c r="D29" s="26"/>
      <c r="E29" s="26"/>
      <c r="F29" s="26"/>
    </row>
    <row r="30" spans="1:13" x14ac:dyDescent="0.3">
      <c r="B30" t="s">
        <v>89</v>
      </c>
      <c r="C30" t="s">
        <v>90</v>
      </c>
      <c r="D30" s="26" t="s">
        <v>84</v>
      </c>
      <c r="E30" s="26" t="s">
        <v>88</v>
      </c>
      <c r="F30" s="26" t="s">
        <v>91</v>
      </c>
    </row>
    <row r="31" spans="1:13" x14ac:dyDescent="0.3">
      <c r="A31" s="3" t="s">
        <v>23</v>
      </c>
      <c r="B31" s="29">
        <f>O5</f>
        <v>60.028913502969864</v>
      </c>
      <c r="C31" s="11">
        <f>Y5</f>
        <v>301.70444251864342</v>
      </c>
      <c r="D31" s="38">
        <f>((SUMPRODUCT(G19:L19,G1:L1)+Backend!K11)*SQRT(Backend!I12)+Backend!H12)*E5</f>
        <v>126.54438337576428</v>
      </c>
      <c r="E31" s="26">
        <f>D31-B31</f>
        <v>66.515469872794426</v>
      </c>
      <c r="F31" s="26">
        <f>C31-D31</f>
        <v>175.16005914287913</v>
      </c>
    </row>
    <row r="32" spans="1:13" x14ac:dyDescent="0.3">
      <c r="A32" s="4" t="s">
        <v>22</v>
      </c>
      <c r="B32" s="29">
        <f>O6</f>
        <v>88.820110863505306</v>
      </c>
      <c r="C32" s="11">
        <f>Y6</f>
        <v>242.92731010721579</v>
      </c>
      <c r="D32" s="38">
        <f>Calculator!$E$13</f>
        <v>0.15</v>
      </c>
      <c r="E32" s="26">
        <f t="shared" ref="E32:E35" si="7">D32-B32</f>
        <v>-88.6701108635053</v>
      </c>
      <c r="F32" s="26">
        <f t="shared" ref="F32:F35" si="8">C32-D32</f>
        <v>242.77731010721578</v>
      </c>
    </row>
    <row r="33" spans="1:6" x14ac:dyDescent="0.3">
      <c r="A33" s="4" t="s">
        <v>69</v>
      </c>
      <c r="B33" s="29">
        <f t="shared" ref="B33:B34" si="9">O7</f>
        <v>126.54438337576428</v>
      </c>
      <c r="C33" s="11">
        <f t="shared" ref="C33:C34" si="10">Y7</f>
        <v>126.54438337576428</v>
      </c>
      <c r="D33" s="38">
        <f>Calculator!$E$13</f>
        <v>0.15</v>
      </c>
      <c r="E33" s="26">
        <f t="shared" si="7"/>
        <v>-126.39438337576428</v>
      </c>
      <c r="F33" s="26">
        <f t="shared" si="8"/>
        <v>126.39438337576428</v>
      </c>
    </row>
    <row r="34" spans="1:6" x14ac:dyDescent="0.3">
      <c r="A34" s="4" t="s">
        <v>73</v>
      </c>
      <c r="B34" s="29">
        <f t="shared" si="9"/>
        <v>40.094743096509269</v>
      </c>
      <c r="C34" s="11">
        <f t="shared" si="10"/>
        <v>149.87355724872972</v>
      </c>
      <c r="D34" s="38">
        <f>Calculator!$E$13</f>
        <v>0.15</v>
      </c>
      <c r="E34" s="26">
        <f t="shared" si="7"/>
        <v>-39.944743096509271</v>
      </c>
      <c r="F34" s="26">
        <f t="shared" si="8"/>
        <v>149.72355724872972</v>
      </c>
    </row>
    <row r="35" spans="1:6" ht="16.2" x14ac:dyDescent="0.3">
      <c r="A35" s="5" t="s">
        <v>55</v>
      </c>
      <c r="B35" s="29">
        <f>Y9</f>
        <v>113.22317661587226</v>
      </c>
      <c r="C35" s="11">
        <f>O9</f>
        <v>132.03689108309007</v>
      </c>
      <c r="D35" s="38">
        <f>Calculator!$E$13</f>
        <v>0.15</v>
      </c>
      <c r="E35" s="26">
        <f t="shared" si="7"/>
        <v>-113.07317661587226</v>
      </c>
      <c r="F35" s="26">
        <f t="shared" si="8"/>
        <v>131.88689108309006</v>
      </c>
    </row>
    <row r="36" spans="1:6" x14ac:dyDescent="0.3">
      <c r="A36" s="24"/>
      <c r="B36" s="34"/>
      <c r="C36" s="24"/>
      <c r="D36" s="24"/>
      <c r="E36" s="24"/>
      <c r="F36" s="24"/>
    </row>
    <row r="37" spans="1:6" x14ac:dyDescent="0.3">
      <c r="A37" s="24"/>
      <c r="B37" s="27"/>
      <c r="C37" s="27"/>
      <c r="D37" s="27"/>
      <c r="E37" s="27"/>
      <c r="F37" s="2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439B7574005E468D9C53218480FEF4" ma:contentTypeVersion="6" ma:contentTypeDescription="Create a new document." ma:contentTypeScope="" ma:versionID="37180f923b8f2bdf4d7847408e02b6b8">
  <xsd:schema xmlns:xsd="http://www.w3.org/2001/XMLSchema" xmlns:xs="http://www.w3.org/2001/XMLSchema" xmlns:p="http://schemas.microsoft.com/office/2006/metadata/properties" xmlns:ns2="c9ed853b-626c-4fcf-9307-568ef456efa6" xmlns:ns3="1ae323ba-a2f2-42c4-953b-4c0ef145830d" targetNamespace="http://schemas.microsoft.com/office/2006/metadata/properties" ma:root="true" ma:fieldsID="34592d3604c84aa394fb3f292912aaa2" ns2:_="" ns3:_="">
    <xsd:import namespace="c9ed853b-626c-4fcf-9307-568ef456efa6"/>
    <xsd:import namespace="1ae323ba-a2f2-42c4-953b-4c0ef14583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d853b-626c-4fcf-9307-568ef456e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323ba-a2f2-42c4-953b-4c0ef14583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7492DF-9D7C-4897-813A-9B243F552236}"/>
</file>

<file path=customXml/itemProps2.xml><?xml version="1.0" encoding="utf-8"?>
<ds:datastoreItem xmlns:ds="http://schemas.openxmlformats.org/officeDocument/2006/customXml" ds:itemID="{EB50F7EA-F9D0-4699-BE3B-1250A77AAB31}"/>
</file>

<file path=customXml/itemProps3.xml><?xml version="1.0" encoding="utf-8"?>
<ds:datastoreItem xmlns:ds="http://schemas.openxmlformats.org/officeDocument/2006/customXml" ds:itemID="{EB1EDF80-E52E-4D5B-856E-543E8832BA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vt:lpstr>
      <vt:lpstr>Calculator</vt:lpstr>
      <vt:lpstr>Backend</vt:lpstr>
      <vt:lpstr>Dropdowns</vt:lpstr>
      <vt:lpstr>Sensitivity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Wyatt</dc:creator>
  <cp:lastModifiedBy>Sophie Naylor</cp:lastModifiedBy>
  <dcterms:created xsi:type="dcterms:W3CDTF">2021-09-20T13:05:16Z</dcterms:created>
  <dcterms:modified xsi:type="dcterms:W3CDTF">2023-05-04T11:50:35Z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0x010100AC439B7574005E468D9C53218480FEF4</vt:lpwstr>
  </property>
</Properties>
</file>