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Shared\Documents\PROJECTS\Live\762 Local Partnerships - ULEV Waste Fleet\Project Delivery\Vehicle Data\Vehicle Performance Sheets\"/>
    </mc:Choice>
  </mc:AlternateContent>
  <xr:revisionPtr revIDLastSave="0" documentId="13_ncr:1_{35190C40-CECA-4A09-AD62-E2E7B3DC33D4}" xr6:coauthVersionLast="47" xr6:coauthVersionMax="47" xr10:uidLastSave="{00000000-0000-0000-0000-000000000000}"/>
  <workbookProtection workbookAlgorithmName="SHA-512" workbookHashValue="InM1Hi60c3w6pIGAGu8MR1gUovlxfjb1NBr/NedD29zMpRDEdCG89VF8bdnpC3tTQWm9i3L6scji+Lr2teatkw==" workbookSaltValue="jI/92d86c7K/sTgYehSlUw==" workbookSpinCount="100000" lockStructure="1"/>
  <bookViews>
    <workbookView xWindow="-96" yWindow="-96" windowWidth="23232" windowHeight="12552" activeTab="1" xr2:uid="{03C38383-AA5B-4917-AEF8-AE183CDD6982}"/>
  </bookViews>
  <sheets>
    <sheet name="How To Use" sheetId="3" r:id="rId1"/>
    <sheet name="Calculator" sheetId="1" r:id="rId2"/>
    <sheet name="Dropdowns" sheetId="5" state="hidden" r:id="rId3"/>
    <sheet name="Sensitivity" sheetId="6" state="hidden" r:id="rId4"/>
    <sheet name="Backend"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 l="1"/>
  <c r="F6" i="1"/>
  <c r="F7" i="1"/>
  <c r="F4" i="1"/>
  <c r="B8" i="1" l="1"/>
  <c r="D6" i="1"/>
  <c r="E7" i="6" s="1"/>
  <c r="D7" i="1"/>
  <c r="G7" i="2" s="1"/>
  <c r="E10" i="6"/>
  <c r="G6" i="2" l="1"/>
  <c r="E11" i="6" l="1"/>
  <c r="C11" i="6"/>
  <c r="M11" i="6" s="1"/>
  <c r="B11" i="6"/>
  <c r="V11" i="6" s="1"/>
  <c r="V20" i="6" s="1"/>
  <c r="C10" i="6"/>
  <c r="L10" i="6" s="1"/>
  <c r="B10" i="6"/>
  <c r="U10" i="6" s="1"/>
  <c r="U19" i="6" s="1"/>
  <c r="U29" i="6" s="1"/>
  <c r="E9" i="6"/>
  <c r="C9" i="6"/>
  <c r="T9" i="6" s="1"/>
  <c r="B9" i="6"/>
  <c r="E8" i="6"/>
  <c r="C8" i="6"/>
  <c r="S8" i="6" s="1"/>
  <c r="B8" i="6"/>
  <c r="J8" i="6" s="1"/>
  <c r="C7" i="6"/>
  <c r="R7" i="6" s="1"/>
  <c r="B7" i="6"/>
  <c r="I7" i="6" s="1"/>
  <c r="E6" i="6"/>
  <c r="C6" i="6"/>
  <c r="Q6" i="6" s="1"/>
  <c r="B6" i="6"/>
  <c r="H6" i="6" s="1"/>
  <c r="E5" i="6"/>
  <c r="C5" i="6"/>
  <c r="P5" i="6" s="1"/>
  <c r="B5" i="6"/>
  <c r="V30" i="6" l="1"/>
  <c r="V21" i="6"/>
  <c r="V31" i="6" s="1"/>
  <c r="K8" i="6"/>
  <c r="U8" i="6"/>
  <c r="T8" i="6"/>
  <c r="R8" i="6"/>
  <c r="P8" i="6"/>
  <c r="P16" i="6" s="1"/>
  <c r="P26" i="6" s="1"/>
  <c r="Q8" i="6"/>
  <c r="V8" i="6"/>
  <c r="R11" i="6"/>
  <c r="R20" i="6" s="1"/>
  <c r="Q11" i="6"/>
  <c r="Q20" i="6" s="1"/>
  <c r="P11" i="6"/>
  <c r="P20" i="6" s="1"/>
  <c r="T11" i="6"/>
  <c r="T20" i="6" s="1"/>
  <c r="U11" i="6"/>
  <c r="U20" i="6" s="1"/>
  <c r="S11" i="6"/>
  <c r="S20" i="6" s="1"/>
  <c r="P10" i="6"/>
  <c r="P19" i="6" s="1"/>
  <c r="P29" i="6" s="1"/>
  <c r="V10" i="6"/>
  <c r="V19" i="6" s="1"/>
  <c r="V29" i="6" s="1"/>
  <c r="T10" i="6"/>
  <c r="T19" i="6" s="1"/>
  <c r="T29" i="6" s="1"/>
  <c r="S10" i="6"/>
  <c r="S19" i="6" s="1"/>
  <c r="S29" i="6" s="1"/>
  <c r="Q10" i="6"/>
  <c r="Q19" i="6" s="1"/>
  <c r="Q29" i="6" s="1"/>
  <c r="R10" i="6"/>
  <c r="R19" i="6" s="1"/>
  <c r="R29" i="6" s="1"/>
  <c r="V5" i="6"/>
  <c r="U5" i="6"/>
  <c r="T5" i="6"/>
  <c r="T17" i="6" s="1"/>
  <c r="T27" i="6" s="1"/>
  <c r="S5" i="6"/>
  <c r="S16" i="6" s="1"/>
  <c r="S26" i="6" s="1"/>
  <c r="R5" i="6"/>
  <c r="R18" i="6" s="1"/>
  <c r="R28" i="6" s="1"/>
  <c r="Q5" i="6"/>
  <c r="L6" i="6"/>
  <c r="P6" i="6"/>
  <c r="P14" i="6" s="1"/>
  <c r="V6" i="6"/>
  <c r="S6" i="6"/>
  <c r="R6" i="6"/>
  <c r="U6" i="6"/>
  <c r="T6" i="6"/>
  <c r="V9" i="6"/>
  <c r="U9" i="6"/>
  <c r="S9" i="6"/>
  <c r="R9" i="6"/>
  <c r="P9" i="6"/>
  <c r="P17" i="6" s="1"/>
  <c r="P27" i="6" s="1"/>
  <c r="Q9" i="6"/>
  <c r="J7" i="6"/>
  <c r="S7" i="6"/>
  <c r="Q7" i="6"/>
  <c r="P7" i="6"/>
  <c r="P18" i="6" s="1"/>
  <c r="P28" i="6" s="1"/>
  <c r="T7" i="6"/>
  <c r="V7" i="6"/>
  <c r="U7" i="6"/>
  <c r="G8" i="6"/>
  <c r="H8" i="6"/>
  <c r="I5" i="6"/>
  <c r="I18" i="6" s="1"/>
  <c r="I28" i="6" s="1"/>
  <c r="I8" i="6"/>
  <c r="H7" i="6"/>
  <c r="G10" i="6"/>
  <c r="G19" i="6" s="1"/>
  <c r="G29" i="6" s="1"/>
  <c r="M10" i="6"/>
  <c r="M19" i="6" s="1"/>
  <c r="M29" i="6" s="1"/>
  <c r="H5" i="6"/>
  <c r="H14" i="6" s="1"/>
  <c r="I10" i="6"/>
  <c r="I19" i="6" s="1"/>
  <c r="I29" i="6" s="1"/>
  <c r="L8" i="6"/>
  <c r="M20" i="6"/>
  <c r="G11" i="6"/>
  <c r="G20" i="6" s="1"/>
  <c r="G9" i="6"/>
  <c r="H11" i="6"/>
  <c r="H20" i="6" s="1"/>
  <c r="J9" i="6"/>
  <c r="M7" i="6"/>
  <c r="J6" i="6"/>
  <c r="G5" i="6"/>
  <c r="J11" i="6"/>
  <c r="J20" i="6" s="1"/>
  <c r="L7" i="6"/>
  <c r="I6" i="6"/>
  <c r="I11" i="6"/>
  <c r="I20" i="6" s="1"/>
  <c r="K6" i="6"/>
  <c r="I9" i="6"/>
  <c r="G7" i="6"/>
  <c r="K10" i="6"/>
  <c r="K19" i="6" s="1"/>
  <c r="K29" i="6" s="1"/>
  <c r="H9" i="6"/>
  <c r="K7" i="6"/>
  <c r="M5" i="6"/>
  <c r="M9" i="6"/>
  <c r="L9" i="6"/>
  <c r="G6" i="6"/>
  <c r="J10" i="6"/>
  <c r="J19" i="6" s="1"/>
  <c r="J29" i="6" s="1"/>
  <c r="M8" i="6"/>
  <c r="L5" i="6"/>
  <c r="L11" i="6"/>
  <c r="L20" i="6" s="1"/>
  <c r="K5" i="6"/>
  <c r="K9" i="6"/>
  <c r="K11" i="6"/>
  <c r="K20" i="6" s="1"/>
  <c r="H10" i="6"/>
  <c r="H19" i="6" s="1"/>
  <c r="H29" i="6" s="1"/>
  <c r="M6" i="6"/>
  <c r="J5" i="6"/>
  <c r="L19" i="6"/>
  <c r="L29" i="6" s="1"/>
  <c r="Q18" i="6" l="1"/>
  <c r="Q28" i="6" s="1"/>
  <c r="V14" i="6"/>
  <c r="V24" i="6" s="1"/>
  <c r="L14" i="6"/>
  <c r="L15" i="6" s="1"/>
  <c r="L25" i="6" s="1"/>
  <c r="V18" i="6"/>
  <c r="V28" i="6" s="1"/>
  <c r="S18" i="6"/>
  <c r="S28" i="6" s="1"/>
  <c r="U18" i="6"/>
  <c r="U28" i="6" s="1"/>
  <c r="T14" i="6"/>
  <c r="T24" i="6" s="1"/>
  <c r="U14" i="6"/>
  <c r="U24" i="6" s="1"/>
  <c r="V16" i="6"/>
  <c r="V26" i="6" s="1"/>
  <c r="Q16" i="6"/>
  <c r="Q26" i="6" s="1"/>
  <c r="K16" i="6"/>
  <c r="K26" i="6" s="1"/>
  <c r="J18" i="6"/>
  <c r="J28" i="6" s="1"/>
  <c r="U17" i="6"/>
  <c r="U27" i="6" s="1"/>
  <c r="U16" i="6"/>
  <c r="U26" i="6" s="1"/>
  <c r="R30" i="6"/>
  <c r="R21" i="6"/>
  <c r="R31" i="6" s="1"/>
  <c r="R14" i="6"/>
  <c r="S14" i="6"/>
  <c r="S30" i="6"/>
  <c r="S21" i="6"/>
  <c r="S31" i="6" s="1"/>
  <c r="R17" i="6"/>
  <c r="R27" i="6" s="1"/>
  <c r="U21" i="6"/>
  <c r="U31" i="6" s="1"/>
  <c r="U30" i="6"/>
  <c r="R16" i="6"/>
  <c r="R26" i="6" s="1"/>
  <c r="T18" i="6"/>
  <c r="T28" i="6" s="1"/>
  <c r="S17" i="6"/>
  <c r="S27" i="6" s="1"/>
  <c r="P15" i="6"/>
  <c r="P25" i="6" s="1"/>
  <c r="P24" i="6"/>
  <c r="T21" i="6"/>
  <c r="T31" i="6" s="1"/>
  <c r="T30" i="6"/>
  <c r="T16" i="6"/>
  <c r="T26" i="6" s="1"/>
  <c r="P30" i="6"/>
  <c r="P21" i="6"/>
  <c r="P31" i="6" s="1"/>
  <c r="I16" i="6"/>
  <c r="I26" i="6" s="1"/>
  <c r="V17" i="6"/>
  <c r="V27" i="6" s="1"/>
  <c r="Q17" i="6"/>
  <c r="Q27" i="6" s="1"/>
  <c r="Q14" i="6"/>
  <c r="Q30" i="6"/>
  <c r="Q21" i="6"/>
  <c r="Q31" i="6" s="1"/>
  <c r="K21" i="6"/>
  <c r="K31" i="6" s="1"/>
  <c r="K30" i="6"/>
  <c r="H15" i="6"/>
  <c r="H25" i="6" s="1"/>
  <c r="H24" i="6"/>
  <c r="K17" i="6"/>
  <c r="K27" i="6" s="1"/>
  <c r="K14" i="6"/>
  <c r="H21" i="6"/>
  <c r="H31" i="6" s="1"/>
  <c r="H30" i="6"/>
  <c r="L30" i="6"/>
  <c r="L21" i="6"/>
  <c r="L31" i="6" s="1"/>
  <c r="G30" i="6"/>
  <c r="G21" i="6"/>
  <c r="G31" i="6" s="1"/>
  <c r="J21" i="6"/>
  <c r="J31" i="6" s="1"/>
  <c r="J30" i="6"/>
  <c r="M30" i="6"/>
  <c r="M21" i="6"/>
  <c r="M31" i="6" s="1"/>
  <c r="I21" i="6"/>
  <c r="I31" i="6" s="1"/>
  <c r="I30" i="6"/>
  <c r="M18" i="6"/>
  <c r="M28" i="6" s="1"/>
  <c r="M17" i="6"/>
  <c r="M27" i="6" s="1"/>
  <c r="K18" i="6"/>
  <c r="K28" i="6" s="1"/>
  <c r="L18" i="6"/>
  <c r="L28" i="6" s="1"/>
  <c r="H18" i="6"/>
  <c r="H28" i="6" s="1"/>
  <c r="M16" i="6"/>
  <c r="M26" i="6" s="1"/>
  <c r="H17" i="6"/>
  <c r="H27" i="6" s="1"/>
  <c r="M14" i="6"/>
  <c r="H16" i="6"/>
  <c r="H26" i="6" s="1"/>
  <c r="L16" i="6"/>
  <c r="L26" i="6" s="1"/>
  <c r="G14" i="6"/>
  <c r="I17" i="6"/>
  <c r="I27" i="6" s="1"/>
  <c r="G16" i="6"/>
  <c r="G26" i="6" s="1"/>
  <c r="G18" i="6"/>
  <c r="G28" i="6" s="1"/>
  <c r="J16" i="6"/>
  <c r="J26" i="6" s="1"/>
  <c r="J14" i="6"/>
  <c r="L17" i="6"/>
  <c r="L27" i="6" s="1"/>
  <c r="J17" i="6"/>
  <c r="J27" i="6" s="1"/>
  <c r="I14" i="6"/>
  <c r="G17" i="6"/>
  <c r="G27" i="6" s="1"/>
  <c r="T15" i="6" l="1"/>
  <c r="T25" i="6" s="1"/>
  <c r="T33" i="6" s="1"/>
  <c r="T34" i="6" s="1"/>
  <c r="V15" i="6"/>
  <c r="V25" i="6" s="1"/>
  <c r="V33" i="6" s="1"/>
  <c r="V34" i="6" s="1"/>
  <c r="L24" i="6"/>
  <c r="L33" i="6" s="1"/>
  <c r="L34" i="6" s="1"/>
  <c r="U15" i="6"/>
  <c r="U25" i="6" s="1"/>
  <c r="U33" i="6" s="1"/>
  <c r="U34" i="6" s="1"/>
  <c r="R24" i="6"/>
  <c r="R15" i="6"/>
  <c r="R25" i="6" s="1"/>
  <c r="S24" i="6"/>
  <c r="S15" i="6"/>
  <c r="S25" i="6" s="1"/>
  <c r="Q15" i="6"/>
  <c r="Q25" i="6" s="1"/>
  <c r="Q24" i="6"/>
  <c r="P33" i="6"/>
  <c r="P34" i="6" s="1"/>
  <c r="H33" i="6"/>
  <c r="H34" i="6" s="1"/>
  <c r="G15" i="6"/>
  <c r="G25" i="6" s="1"/>
  <c r="G24" i="6"/>
  <c r="I15" i="6"/>
  <c r="I25" i="6" s="1"/>
  <c r="I24" i="6"/>
  <c r="K15" i="6"/>
  <c r="K25" i="6" s="1"/>
  <c r="K24" i="6"/>
  <c r="M15" i="6"/>
  <c r="M25" i="6" s="1"/>
  <c r="M24" i="6"/>
  <c r="J15" i="6"/>
  <c r="J25" i="6" s="1"/>
  <c r="J24" i="6"/>
  <c r="J33" i="6" l="1"/>
  <c r="J34" i="6" s="1"/>
  <c r="G33" i="6"/>
  <c r="G34" i="6" s="1"/>
  <c r="M33" i="6"/>
  <c r="M34" i="6" s="1"/>
  <c r="K33" i="6"/>
  <c r="K34" i="6" s="1"/>
  <c r="Q33" i="6"/>
  <c r="Q34" i="6" s="1"/>
  <c r="R33" i="6"/>
  <c r="R34" i="6" s="1"/>
  <c r="S33" i="6"/>
  <c r="S34" i="6" s="1"/>
  <c r="I33" i="6"/>
  <c r="I34" i="6" s="1"/>
  <c r="G14" i="2" l="1"/>
  <c r="E20" i="1" l="1"/>
  <c r="E21" i="1"/>
  <c r="E19" i="1"/>
  <c r="E15" i="1"/>
  <c r="G4" i="2"/>
  <c r="G5" i="2" s="1"/>
  <c r="J5" i="2" s="1"/>
  <c r="Q19" i="2"/>
  <c r="R19" i="2"/>
  <c r="S19" i="2"/>
  <c r="T19" i="2"/>
  <c r="U19" i="2"/>
  <c r="V19" i="2"/>
  <c r="W19" i="2"/>
  <c r="X19" i="2"/>
  <c r="Y19" i="2"/>
  <c r="Z19" i="2"/>
  <c r="Q20" i="2"/>
  <c r="R20" i="2"/>
  <c r="S20" i="2"/>
  <c r="T20" i="2"/>
  <c r="U20" i="2"/>
  <c r="V20" i="2"/>
  <c r="W20" i="2"/>
  <c r="X20" i="2"/>
  <c r="Y20" i="2"/>
  <c r="Z20" i="2"/>
  <c r="P20" i="2"/>
  <c r="O34" i="2"/>
  <c r="Q34" i="2" s="1"/>
  <c r="P19" i="2"/>
  <c r="O5" i="2"/>
  <c r="P5" i="2"/>
  <c r="Q5" i="2"/>
  <c r="R5" i="2"/>
  <c r="S5" i="2"/>
  <c r="T5" i="2"/>
  <c r="U5" i="2"/>
  <c r="V5" i="2"/>
  <c r="W5" i="2"/>
  <c r="X5" i="2"/>
  <c r="Y5" i="2"/>
  <c r="Z5" i="2"/>
  <c r="J6" i="2"/>
  <c r="G8" i="2"/>
  <c r="J8" i="2" s="1"/>
  <c r="N5" i="5" l="1"/>
  <c r="N3" i="5"/>
  <c r="N4" i="5"/>
  <c r="J4" i="2"/>
  <c r="J7" i="2"/>
  <c r="X34" i="2"/>
  <c r="W34" i="2"/>
  <c r="V34" i="2"/>
  <c r="U34" i="2"/>
  <c r="T34" i="2"/>
  <c r="P34" i="2"/>
  <c r="S34" i="2"/>
  <c r="Z34" i="2"/>
  <c r="R34" i="2"/>
  <c r="Y34" i="2"/>
  <c r="U10" i="2" l="1"/>
  <c r="U25" i="2" s="1"/>
  <c r="J10" i="2"/>
  <c r="R10" i="2"/>
  <c r="R25" i="2" s="1"/>
  <c r="T11" i="2"/>
  <c r="T12" i="2" s="1"/>
  <c r="X9" i="2"/>
  <c r="X24" i="2" s="1"/>
  <c r="Z10" i="2"/>
  <c r="Z25" i="2" s="1"/>
  <c r="O11" i="2"/>
  <c r="P9" i="2"/>
  <c r="P8" i="2" s="1"/>
  <c r="P15" i="2" s="1"/>
  <c r="R11" i="2"/>
  <c r="R12" i="2" s="1"/>
  <c r="W10" i="2"/>
  <c r="W25" i="2" s="1"/>
  <c r="U9" i="2"/>
  <c r="U8" i="2" s="1"/>
  <c r="U15" i="2" s="1"/>
  <c r="R9" i="2"/>
  <c r="R8" i="2" s="1"/>
  <c r="R15" i="2" s="1"/>
  <c r="Z11" i="2"/>
  <c r="Z12" i="2" s="1"/>
  <c r="S9" i="2"/>
  <c r="S8" i="2" s="1"/>
  <c r="S15" i="2" s="1"/>
  <c r="V9" i="2"/>
  <c r="V8" i="2" s="1"/>
  <c r="V15" i="2" s="1"/>
  <c r="Q10" i="2"/>
  <c r="Q25" i="2" s="1"/>
  <c r="T10" i="2"/>
  <c r="T25" i="2" s="1"/>
  <c r="W9" i="2"/>
  <c r="W8" i="2" s="1"/>
  <c r="W15" i="2" s="1"/>
  <c r="Y10" i="2"/>
  <c r="Y25" i="2" s="1"/>
  <c r="V11" i="2"/>
  <c r="V12" i="2" s="1"/>
  <c r="T9" i="2"/>
  <c r="W11" i="2"/>
  <c r="W26" i="2" s="1"/>
  <c r="O9" i="2"/>
  <c r="O24" i="2" s="1"/>
  <c r="O23" i="2" s="1"/>
  <c r="Z9" i="2"/>
  <c r="Z8" i="2" s="1"/>
  <c r="Z15" i="2" s="1"/>
  <c r="S11" i="2"/>
  <c r="S12" i="2" s="1"/>
  <c r="Q9" i="2"/>
  <c r="Q8" i="2" s="1"/>
  <c r="Q15" i="2" s="1"/>
  <c r="S10" i="2"/>
  <c r="S25" i="2" s="1"/>
  <c r="P11" i="2"/>
  <c r="P12" i="2" s="1"/>
  <c r="P10" i="2"/>
  <c r="P25" i="2" s="1"/>
  <c r="Y9" i="2"/>
  <c r="O10" i="2"/>
  <c r="O25" i="2" s="1"/>
  <c r="X11" i="2"/>
  <c r="X10" i="2"/>
  <c r="X25" i="2" s="1"/>
  <c r="U11" i="2"/>
  <c r="U12" i="2" s="1"/>
  <c r="Y11" i="2"/>
  <c r="Y12" i="2" s="1"/>
  <c r="Q11" i="2"/>
  <c r="Q12" i="2" s="1"/>
  <c r="V10" i="2"/>
  <c r="V25" i="2" s="1"/>
  <c r="D15" i="1" l="1"/>
  <c r="O26" i="2"/>
  <c r="O27" i="2" s="1"/>
  <c r="O30" i="2" s="1"/>
  <c r="O16" i="2"/>
  <c r="O12" i="2"/>
  <c r="T26" i="2"/>
  <c r="T27" i="2" s="1"/>
  <c r="T30" i="2" s="1"/>
  <c r="Z26" i="2"/>
  <c r="Z27" i="2" s="1"/>
  <c r="Z30" i="2" s="1"/>
  <c r="X16" i="2"/>
  <c r="P24" i="2"/>
  <c r="P23" i="2" s="1"/>
  <c r="X8" i="2"/>
  <c r="X15" i="2" s="1"/>
  <c r="U24" i="2"/>
  <c r="U23" i="2" s="1"/>
  <c r="R26" i="2"/>
  <c r="R27" i="2" s="1"/>
  <c r="R30" i="2" s="1"/>
  <c r="T16" i="2"/>
  <c r="W12" i="2"/>
  <c r="Y16" i="2"/>
  <c r="Q24" i="2"/>
  <c r="W24" i="2"/>
  <c r="W23" i="2" s="1"/>
  <c r="S26" i="2"/>
  <c r="S27" i="2" s="1"/>
  <c r="S30" i="2" s="1"/>
  <c r="V24" i="2"/>
  <c r="V23" i="2" s="1"/>
  <c r="R16" i="2"/>
  <c r="S24" i="2"/>
  <c r="S23" i="2" s="1"/>
  <c r="R24" i="2"/>
  <c r="S16" i="2"/>
  <c r="U16" i="2"/>
  <c r="Y8" i="2"/>
  <c r="Y15" i="2" s="1"/>
  <c r="T24" i="2"/>
  <c r="Q26" i="2"/>
  <c r="Q27" i="2" s="1"/>
  <c r="Q30" i="2" s="1"/>
  <c r="T8" i="2"/>
  <c r="T15" i="2" s="1"/>
  <c r="Q16" i="2"/>
  <c r="U26" i="2"/>
  <c r="U27" i="2" s="1"/>
  <c r="U30" i="2" s="1"/>
  <c r="Y26" i="2"/>
  <c r="Y27" i="2" s="1"/>
  <c r="Y30" i="2" s="1"/>
  <c r="W16" i="2"/>
  <c r="Y24" i="2"/>
  <c r="Y23" i="2" s="1"/>
  <c r="Z16" i="2"/>
  <c r="V16" i="2"/>
  <c r="X12" i="2"/>
  <c r="P16" i="2"/>
  <c r="O8" i="2"/>
  <c r="V26" i="2"/>
  <c r="P26" i="2"/>
  <c r="Z24" i="2"/>
  <c r="X26" i="2"/>
  <c r="X27" i="2" s="1"/>
  <c r="X30" i="2" s="1"/>
  <c r="X23" i="2"/>
  <c r="W27" i="2"/>
  <c r="W30" i="2" s="1"/>
  <c r="D19" i="1" l="1"/>
  <c r="D20" i="1"/>
  <c r="D34" i="6"/>
  <c r="U37" i="6" s="1"/>
  <c r="D21" i="1"/>
  <c r="D16" i="1"/>
  <c r="E16" i="1" s="1"/>
  <c r="P31" i="2"/>
  <c r="O31" i="2"/>
  <c r="O15" i="2"/>
  <c r="O14" i="2" a="1"/>
  <c r="O14" i="2" s="1"/>
  <c r="O17" i="2" a="1"/>
  <c r="O17" i="2" s="1"/>
  <c r="Z31" i="2"/>
  <c r="R31" i="2"/>
  <c r="T31" i="2"/>
  <c r="T23" i="2"/>
  <c r="W31" i="2"/>
  <c r="S31" i="2"/>
  <c r="Q31" i="2"/>
  <c r="Q23" i="2"/>
  <c r="Z23" i="2"/>
  <c r="R23" i="2"/>
  <c r="V31" i="2"/>
  <c r="Y31" i="2"/>
  <c r="P27" i="2"/>
  <c r="P30" i="2" s="1"/>
  <c r="V27" i="2"/>
  <c r="V30" i="2" s="1"/>
  <c r="U31" i="2"/>
  <c r="X31" i="2"/>
  <c r="H37" i="6" l="1"/>
  <c r="R37" i="6"/>
  <c r="J37" i="6"/>
  <c r="I37" i="6"/>
  <c r="P37" i="6"/>
  <c r="G37" i="6"/>
  <c r="Q37" i="6"/>
  <c r="V37" i="6"/>
  <c r="S37" i="6"/>
  <c r="T37" i="6"/>
  <c r="M37" i="6"/>
  <c r="L37" i="6"/>
  <c r="K37" i="6"/>
  <c r="O32" i="2" a="1"/>
  <c r="O32" i="2" s="1"/>
  <c r="O29" i="2" a="1"/>
  <c r="O29"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<sst xmlns="http://schemas.openxmlformats.org/spreadsheetml/2006/main" count="236" uniqueCount="146">
  <si>
    <t>Bins emptied</t>
  </si>
  <si>
    <t>EEDI</t>
  </si>
  <si>
    <t>Intercept</t>
  </si>
  <si>
    <t>Elevation gain (m)</t>
  </si>
  <si>
    <t>Temperature (oC)</t>
  </si>
  <si>
    <t>January</t>
  </si>
  <si>
    <t>February</t>
  </si>
  <si>
    <t>March</t>
  </si>
  <si>
    <t>April</t>
  </si>
  <si>
    <t>May</t>
  </si>
  <si>
    <t>June</t>
  </si>
  <si>
    <t>July</t>
  </si>
  <si>
    <t>August</t>
  </si>
  <si>
    <t>September</t>
  </si>
  <si>
    <t>October</t>
  </si>
  <si>
    <t>November</t>
  </si>
  <si>
    <t>December</t>
  </si>
  <si>
    <t>Max</t>
  </si>
  <si>
    <t>Min</t>
  </si>
  <si>
    <t>Max temperature</t>
  </si>
  <si>
    <t>Min temperature</t>
  </si>
  <si>
    <t>Load collected (tonnes)</t>
  </si>
  <si>
    <t>Power (kW)</t>
  </si>
  <si>
    <t>Speed^2</t>
  </si>
  <si>
    <t>Speed (mph)</t>
  </si>
  <si>
    <t>Bin rate (bins/hour)</t>
  </si>
  <si>
    <t>Load rate (tonnes/hour)</t>
  </si>
  <si>
    <t>Elevation gain rate (m/hour)</t>
  </si>
  <si>
    <t>Temperature^2</t>
  </si>
  <si>
    <t>Distance (miles)</t>
  </si>
  <si>
    <t>Round time (hours)</t>
  </si>
  <si>
    <t>Minimum</t>
  </si>
  <si>
    <t>Maximum</t>
  </si>
  <si>
    <t>Result</t>
  </si>
  <si>
    <t>Uncertainty</t>
  </si>
  <si>
    <t>Energy (kWh)</t>
  </si>
  <si>
    <t>Min Uncertainty</t>
  </si>
  <si>
    <t>Max Uncertainty</t>
  </si>
  <si>
    <t>Model Uncertainty</t>
  </si>
  <si>
    <t>Temperature Uncertainty</t>
  </si>
  <si>
    <t>Base level</t>
  </si>
  <si>
    <t>Model Uncertainty upper</t>
  </si>
  <si>
    <t>Coefficients</t>
  </si>
  <si>
    <t>State values</t>
  </si>
  <si>
    <t>Mean Temperature</t>
  </si>
  <si>
    <t>Predicted Energy Use</t>
  </si>
  <si>
    <t>Fields</t>
  </si>
  <si>
    <t>Explanation</t>
  </si>
  <si>
    <t>Typical value</t>
  </si>
  <si>
    <t>The ambient temperature during the round.</t>
  </si>
  <si>
    <t>objective</t>
  </si>
  <si>
    <t>Fill in the parameters for the round</t>
  </si>
  <si>
    <t>Interpret results</t>
  </si>
  <si>
    <t>The estimated amount of energy required to complete the given round in kilowatt-hours (kWh)</t>
  </si>
  <si>
    <t>Inputs</t>
  </si>
  <si>
    <t>Estimated range (miles)</t>
  </si>
  <si>
    <t>Charging efficiency</t>
  </si>
  <si>
    <t>Charging time at 40 kW (hours)</t>
  </si>
  <si>
    <t>Electricity cost (£/kWh)</t>
  </si>
  <si>
    <t>Overnight down time (hours)</t>
  </si>
  <si>
    <t>Minimum charging power (kW)</t>
  </si>
  <si>
    <t>Round distance</t>
  </si>
  <si>
    <t>Charging cost (£/round)</t>
  </si>
  <si>
    <r>
      <t>Temperature (</t>
    </r>
    <r>
      <rPr>
        <b/>
        <vertAlign val="superscript"/>
        <sz val="11"/>
        <color theme="1"/>
        <rFont val="Calibri"/>
        <family val="2"/>
        <scheme val="minor"/>
      </rPr>
      <t>o</t>
    </r>
    <r>
      <rPr>
        <b/>
        <sz val="11"/>
        <color theme="1"/>
        <rFont val="Calibri"/>
        <family val="2"/>
        <scheme val="minor"/>
      </rPr>
      <t>C)</t>
    </r>
  </si>
  <si>
    <t>Battery capacity</t>
  </si>
  <si>
    <t>Key</t>
  </si>
  <si>
    <t>Outputs</t>
  </si>
  <si>
    <t>In</t>
  </si>
  <si>
    <t>Out</t>
  </si>
  <si>
    <t>Mean</t>
  </si>
  <si>
    <t>Variance</t>
  </si>
  <si>
    <t>90% Prediction Interval</t>
  </si>
  <si>
    <t>Scaled 90% Prediction Interval</t>
  </si>
  <si>
    <t>Typical value min and max</t>
  </si>
  <si>
    <t>Model parameters</t>
  </si>
  <si>
    <t>Graph calculations</t>
  </si>
  <si>
    <t>Value</t>
  </si>
  <si>
    <t>Sensitivity calculations</t>
  </si>
  <si>
    <t>Input Round</t>
  </si>
  <si>
    <t>State variant - min</t>
  </si>
  <si>
    <t>kW Min</t>
  </si>
  <si>
    <t>kWh min</t>
  </si>
  <si>
    <t>kW max</t>
  </si>
  <si>
    <t>Scaled State variant - min</t>
  </si>
  <si>
    <t>State variant - max</t>
  </si>
  <si>
    <t>Baseline</t>
  </si>
  <si>
    <t>Eco Driving</t>
  </si>
  <si>
    <t>Average Driving</t>
  </si>
  <si>
    <t>Aggressive Driving</t>
  </si>
  <si>
    <t>Custom</t>
  </si>
  <si>
    <t>Round variants - min</t>
  </si>
  <si>
    <r>
      <t>Temperature (</t>
    </r>
    <r>
      <rPr>
        <vertAlign val="superscript"/>
        <sz val="11"/>
        <color theme="1"/>
        <rFont val="Calibri"/>
        <family val="2"/>
        <scheme val="minor"/>
      </rPr>
      <t>o</t>
    </r>
    <r>
      <rPr>
        <sz val="11"/>
        <color theme="1"/>
        <rFont val="Calibri"/>
        <family val="2"/>
        <scheme val="minor"/>
      </rPr>
      <t>C)</t>
    </r>
  </si>
  <si>
    <t>Round variants - max</t>
  </si>
  <si>
    <t>Scaled State variant - max</t>
  </si>
  <si>
    <t>kWh max</t>
  </si>
  <si>
    <t>Offset_min</t>
  </si>
  <si>
    <t>Offset_max</t>
  </si>
  <si>
    <t>Elevation Gain</t>
  </si>
  <si>
    <t>Average</t>
  </si>
  <si>
    <t>Hilly</t>
  </si>
  <si>
    <t>Flat</t>
  </si>
  <si>
    <t>Extremely Hilly</t>
  </si>
  <si>
    <t>elev/mi</t>
  </si>
  <si>
    <t>Column1</t>
  </si>
  <si>
    <t>Custom Input</t>
  </si>
  <si>
    <t>Temperature (degrees C)</t>
  </si>
  <si>
    <t>Model Inputs</t>
  </si>
  <si>
    <t>Charging Requirements Data</t>
  </si>
  <si>
    <t>Daily Round Data</t>
  </si>
  <si>
    <t>Results</t>
  </si>
  <si>
    <t>Daily Round Energy and Range</t>
  </si>
  <si>
    <t>Charging Requirements</t>
  </si>
  <si>
    <t>Bins</t>
  </si>
  <si>
    <t>Avg Temp</t>
  </si>
  <si>
    <t>Load</t>
  </si>
  <si>
    <t>Temp</t>
  </si>
  <si>
    <t>UK Yearly Avg</t>
  </si>
  <si>
    <t>UK Winter Avg</t>
  </si>
  <si>
    <t>UK Summer Avg</t>
  </si>
  <si>
    <t>Results Visualisation</t>
  </si>
  <si>
    <t>Mostly Flat</t>
  </si>
  <si>
    <t>load_per_lift</t>
  </si>
  <si>
    <t>lifts_per_mi</t>
  </si>
  <si>
    <t>High kg perLift (eg. City Centre Businesses)</t>
  </si>
  <si>
    <t>Low kg per lift (eg. Low Residential)</t>
  </si>
  <si>
    <t>Med kg per Lift (eg. Residential)</t>
  </si>
  <si>
    <t>Low-Med Lifting Density (eg.Rural Route)</t>
  </si>
  <si>
    <t>Low Lifting Density (eg. Urban City Centre Businesses)</t>
  </si>
  <si>
    <t>We recommend using your own custom values if known. Otherwise, please choose one of the options in the dropdowns below.</t>
  </si>
  <si>
    <t>Med Lifting Density (eg. Urban, &gt; 5 mi from tip)</t>
  </si>
  <si>
    <t>High Lifting Density (eg. Urban, close to tip)</t>
  </si>
  <si>
    <t>The total elevation gain over the round (sum of all hills climbed). This can be estimated using online mapping services such as: https://ridewithgps.com/routes/new</t>
  </si>
  <si>
    <t>The total distance covered on the round.</t>
  </si>
  <si>
    <t>Elevation gain (metres)</t>
  </si>
  <si>
    <t>Below the calculator an energy value is returned in kilowatt-hours (kWh). This is the value for a specific round on a specific day with known temperature. Next to this value is the model prediction uncertainty. In testing, 95% of the model predictions were within this distance of the true result. 
Users may find it more useful to look at the graphs on the right which uses the average temperature for Wales over the year to show the variation in energy required and estimated range. Colder months tend to require more energy than warmer months and so the vehicle range decreases. This graph uses the input round characteristics only, and does not take seasonal waste collection trends into consideration. Around the central line are two shaded areas - the first represents the typical range in temperature for each month, the second adds the prediction uncertainty to the maximum and minimum temperatures.</t>
  </si>
  <si>
    <t>Terberg Kerbloader Battery</t>
  </si>
  <si>
    <r>
      <t xml:space="preserve">The calculator has a number of blue cells which the user can enter values into. These values should represent the round for which the user wishes to estimate the energy an eRRV of this size will require. The fields are shown in the table below with an explanation of their meaning and how to find them. If the user is not able to find a suitable value for some fields, a selection can be made from a range of typical values in the provided dropdown lists to the left of the blue cells. 
If the user enters a value that is outside the range of the data used to build the energy model, the calculator will display the warning: </t>
    </r>
    <r>
      <rPr>
        <sz val="11"/>
        <color rgb="FFFF0000"/>
        <rFont val="Calibri"/>
        <family val="2"/>
        <scheme val="minor"/>
      </rPr>
      <t>One or more inputs outside of model training values.</t>
    </r>
    <r>
      <rPr>
        <sz val="11"/>
        <color theme="1"/>
        <rFont val="Calibri"/>
        <family val="2"/>
        <scheme val="minor"/>
      </rPr>
      <t xml:space="preserve"> This means that the model results are potentially unreliable as they are based on extrapolated trends.</t>
    </r>
  </si>
  <si>
    <t>Flintshire</t>
  </si>
  <si>
    <t>The time spent out collecting recycling, including travel and collection time.</t>
  </si>
  <si>
    <t>About this model</t>
  </si>
  <si>
    <t>Ultra-Low Emission Waste and Recycling Vehicles - Cenex</t>
  </si>
  <si>
    <r>
      <t xml:space="preserve">This model allows users to explore the estimated energy use and possible operating hours of a daily round for an electric Resource Recovery Vehicle (eRRV), based on real-world data from operation of a specific vehicle model: the 12t Terberg Kerbloader. The statistical model was built by measuring the use of existing Kerbloaders deployed in Wales over approximately a one-year period. The model will estimate the daily energy used by an eRRV based on characteristics of that vehicle's daily round, using the relationships learnt from the real-world observations. </t>
    </r>
    <r>
      <rPr>
        <b/>
        <sz val="11"/>
        <color theme="1"/>
        <rFont val="Calibri"/>
        <family val="2"/>
        <scheme val="minor"/>
      </rPr>
      <t xml:space="preserve">Please note that this first iteration of the resource recovery vehicle model is trained on a limited set of data as the number of deployed vehicles in Wales is currently low. It is expected that this model has limited accuracy at this stage, and will require updating as more data is collected. </t>
    </r>
    <r>
      <rPr>
        <sz val="11"/>
        <color theme="1"/>
        <rFont val="Calibri"/>
        <family val="2"/>
        <scheme val="minor"/>
      </rPr>
      <t xml:space="preserve">
For more details and a summary of the eRRV performance window, please see the "Vehicle Performance Insights: Terberg Kerbloader eRRV" document available on the project website:</t>
    </r>
  </si>
  <si>
    <t>Additional Information</t>
  </si>
  <si>
    <t>Typical example values measured in real-world application in Welsh Local Authorities</t>
  </si>
  <si>
    <t>Local Authority</t>
  </si>
  <si>
    <t>Neath Port Talbot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</si>
</sst>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
    <numFmt numFmtId="166" formatCode="0.00000"/>
    <numFmt numFmtId="167" formatCode="0.0"/>
    <numFmt numFmtId="168" formatCode="&quot;£&quot;#,##0.00"/>
  </numFmts>
  <fonts count="17" x14ac:knownFonts="1">
    <font>
      <sz val="11"/>
      <color theme="1"/>
      <name val="Calibri"/>
      <family val="2"/>
      <scheme val="minor"/>
    </font>
    <font>
      <sz val="8"/>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vertAlign val="superscript"/>
      <sz val="11"/>
      <color theme="1"/>
      <name val="Calibri"/>
      <family val="2"/>
      <scheme val="minor"/>
    </font>
    <font>
      <b/>
      <vertAlign val="superscript"/>
      <sz val="11"/>
      <color theme="1"/>
      <name val="Calibri"/>
      <family val="2"/>
      <scheme val="minor"/>
    </font>
    <font>
      <b/>
      <sz val="14"/>
      <color theme="1"/>
      <name val="Calibri"/>
      <family val="2"/>
      <scheme val="minor"/>
    </font>
    <font>
      <sz val="11"/>
      <color theme="0"/>
      <name val="Calibri"/>
      <family val="2"/>
      <scheme val="minor"/>
    </font>
    <font>
      <sz val="11"/>
      <name val="Calibri"/>
      <family val="2"/>
      <scheme val="minor"/>
    </font>
    <font>
      <b/>
      <sz val="15"/>
      <name val="Calibri"/>
      <family val="2"/>
      <scheme val="minor"/>
    </font>
    <font>
      <b/>
      <sz val="11"/>
      <name val="Calibri"/>
      <family val="2"/>
      <scheme val="minor"/>
    </font>
    <font>
      <b/>
      <sz val="11"/>
      <color rgb="FF3F3F76"/>
      <name val="Calibri"/>
      <family val="2"/>
      <scheme val="minor"/>
    </font>
    <font>
      <sz val="10"/>
      <name val="Calibri"/>
      <family val="2"/>
      <scheme val="minor"/>
    </font>
    <font>
      <b/>
      <sz val="18"/>
      <color theme="1"/>
      <name val="Calibri"/>
      <family val="2"/>
      <scheme val="minor"/>
    </font>
    <font>
      <u/>
      <sz val="11"/>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patternFill>
    </fill>
    <fill>
      <patternFill patternType="solid">
        <fgColor rgb="FFCCFFFF"/>
        <bgColor indexed="64"/>
      </patternFill>
    </fill>
    <fill>
      <patternFill patternType="solid">
        <fgColor rgb="FF92D050"/>
        <bgColor indexed="64"/>
      </patternFill>
    </fill>
    <fill>
      <patternFill patternType="solid">
        <fgColor rgb="FFF5F5F5"/>
        <bgColor indexed="64"/>
      </patternFill>
    </fill>
    <fill>
      <patternFill patternType="solid">
        <fgColor rgb="FFBFBFBF"/>
        <bgColor indexed="64"/>
      </patternFill>
    </fill>
    <fill>
      <patternFill patternType="solid">
        <fgColor rgb="FFFFFF99"/>
        <bgColor indexed="64"/>
      </patternFill>
    </fill>
    <fill>
      <patternFill patternType="solid">
        <fgColor rgb="FF9CE8EC"/>
        <bgColor indexed="64"/>
      </patternFill>
    </fill>
    <fill>
      <patternFill patternType="solid">
        <fgColor rgb="FFFBF05B"/>
        <bgColor indexed="64"/>
      </patternFill>
    </fill>
    <fill>
      <patternFill patternType="solid">
        <fgColor theme="0" tint="-0.14999847407452621"/>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theme="1"/>
      </left>
      <right style="medium">
        <color theme="1"/>
      </right>
      <top style="medium">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rgb="FF3F3F3F"/>
      </left>
      <right style="medium">
        <color rgb="FF3F3F3F"/>
      </right>
      <top style="medium">
        <color rgb="FF3F3F3F"/>
      </top>
      <bottom style="medium">
        <color rgb="FF3F3F3F"/>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style="medium">
        <color theme="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theme="1"/>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medium">
        <color indexed="64"/>
      </left>
      <right style="thin">
        <color indexed="64"/>
      </right>
      <top style="medium">
        <color indexed="64"/>
      </top>
      <bottom/>
      <diagonal/>
    </border>
    <border>
      <left style="medium">
        <color theme="1"/>
      </left>
      <right style="medium">
        <color indexed="64"/>
      </right>
      <top style="medium">
        <color indexed="64"/>
      </top>
      <bottom style="medium">
        <color theme="1"/>
      </bottom>
      <diagonal/>
    </border>
    <border>
      <left style="medium">
        <color indexed="64"/>
      </left>
      <right style="thin">
        <color indexed="64"/>
      </right>
      <top/>
      <bottom style="medium">
        <color indexed="64"/>
      </bottom>
      <diagonal/>
    </border>
    <border>
      <left style="medium">
        <color rgb="FF3F3F3F"/>
      </left>
      <right style="medium">
        <color indexed="64"/>
      </right>
      <top style="medium">
        <color rgb="FF3F3F3F"/>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3">
    <xf numFmtId="0" fontId="0" fillId="0" borderId="0"/>
    <xf numFmtId="0" fontId="10" fillId="4" borderId="8" applyNumberFormat="0" applyAlignment="0" applyProtection="0"/>
    <xf numFmtId="0" fontId="10" fillId="8" borderId="10" applyNumberFormat="0" applyAlignment="0" applyProtection="0"/>
    <xf numFmtId="0" fontId="10" fillId="6" borderId="9" applyNumberFormat="0" applyAlignment="0" applyProtection="0"/>
    <xf numFmtId="9" fontId="2" fillId="0" borderId="0" applyFont="0" applyFill="0" applyBorder="0" applyAlignment="0" applyProtection="0"/>
    <xf numFmtId="0" fontId="11" fillId="7" borderId="9" applyNumberFormat="0" applyAlignment="0" applyProtection="0"/>
    <xf numFmtId="0" fontId="2" fillId="5" borderId="9"/>
    <xf numFmtId="0" fontId="10" fillId="6" borderId="9" applyAlignment="0" applyProtection="0"/>
    <xf numFmtId="0" fontId="9" fillId="3" borderId="0" applyBorder="0" applyAlignment="0" applyProtection="0"/>
    <xf numFmtId="0" fontId="10" fillId="4" borderId="8" applyAlignment="0" applyProtection="0"/>
    <xf numFmtId="0" fontId="10" fillId="8" borderId="10" applyAlignment="0" applyProtection="0"/>
    <xf numFmtId="0" fontId="12" fillId="7" borderId="9" applyAlignment="0" applyProtection="0"/>
    <xf numFmtId="0" fontId="16" fillId="0" borderId="0" applyNumberFormat="0" applyFill="0" applyBorder="0" applyAlignment="0" applyProtection="0"/>
  </cellStyleXfs>
  <cellXfs count="144">
    <xf numFmtId="0" fontId="0" fillId="0" borderId="0" xfId="0"/>
    <xf numFmtId="0" fontId="10" fillId="6" borderId="9" xfId="3"/>
    <xf numFmtId="0" fontId="4" fillId="0" borderId="0" xfId="0" applyFont="1"/>
    <xf numFmtId="165" fontId="3" fillId="0" borderId="0" xfId="1" applyNumberFormat="1" applyFont="1" applyFill="1" applyBorder="1" applyAlignment="1">
      <alignment horizontal="left"/>
    </xf>
    <xf numFmtId="0" fontId="4" fillId="0" borderId="2" xfId="0" applyFont="1" applyBorder="1"/>
    <xf numFmtId="0" fontId="4" fillId="0" borderId="3" xfId="0" applyFont="1" applyBorder="1"/>
    <xf numFmtId="0" fontId="4" fillId="0" borderId="4" xfId="0" applyFont="1" applyBorder="1"/>
    <xf numFmtId="0" fontId="4" fillId="0" borderId="1" xfId="0" applyFont="1" applyBorder="1" applyAlignment="1">
      <alignment horizontal="left"/>
    </xf>
    <xf numFmtId="0" fontId="0" fillId="0" borderId="5" xfId="0" applyBorder="1"/>
    <xf numFmtId="0" fontId="0" fillId="0" borderId="4" xfId="0" applyBorder="1"/>
    <xf numFmtId="0" fontId="0" fillId="0" borderId="7" xfId="0" applyBorder="1"/>
    <xf numFmtId="0" fontId="0" fillId="0" borderId="4" xfId="0" applyBorder="1" applyAlignment="1">
      <alignment horizontal="center"/>
    </xf>
    <xf numFmtId="0" fontId="5" fillId="0" borderId="0" xfId="0" applyFont="1"/>
    <xf numFmtId="164" fontId="10" fillId="4" borderId="8" xfId="1" applyNumberFormat="1"/>
    <xf numFmtId="4" fontId="10" fillId="4" borderId="8" xfId="1" applyNumberFormat="1" applyAlignment="1">
      <alignment horizontal="right"/>
    </xf>
    <xf numFmtId="0" fontId="10" fillId="4" borderId="8" xfId="1"/>
    <xf numFmtId="3" fontId="10" fillId="6" borderId="9" xfId="3" applyNumberFormat="1"/>
    <xf numFmtId="9" fontId="10" fillId="4" borderId="8" xfId="1" applyNumberFormat="1" applyAlignment="1">
      <alignment horizontal="right"/>
    </xf>
    <xf numFmtId="166" fontId="0" fillId="0" borderId="0" xfId="0" applyNumberFormat="1"/>
    <xf numFmtId="4" fontId="10" fillId="8" borderId="10" xfId="2" applyNumberFormat="1"/>
    <xf numFmtId="9" fontId="0" fillId="0" borderId="0" xfId="4" applyFont="1"/>
    <xf numFmtId="10" fontId="0" fillId="0" borderId="0" xfId="4" applyNumberFormat="1" applyFont="1"/>
    <xf numFmtId="2" fontId="0" fillId="0" borderId="0" xfId="0" applyNumberFormat="1"/>
    <xf numFmtId="4" fontId="10" fillId="4" borderId="8" xfId="1" applyNumberFormat="1"/>
    <xf numFmtId="166" fontId="10" fillId="6" borderId="9" xfId="3" applyNumberFormat="1"/>
    <xf numFmtId="2" fontId="10" fillId="4" borderId="8" xfId="1" applyNumberFormat="1"/>
    <xf numFmtId="0" fontId="8" fillId="0" borderId="0" xfId="0" applyFont="1"/>
    <xf numFmtId="164" fontId="10" fillId="0" borderId="0" xfId="1" applyNumberFormat="1" applyFill="1" applyBorder="1"/>
    <xf numFmtId="0" fontId="10" fillId="0" borderId="0" xfId="0" applyFont="1"/>
    <xf numFmtId="0" fontId="10" fillId="0" borderId="0" xfId="1" applyFill="1" applyBorder="1"/>
    <xf numFmtId="0" fontId="12" fillId="0" borderId="0" xfId="1" applyFont="1" applyFill="1" applyBorder="1"/>
    <xf numFmtId="164" fontId="13" fillId="0" borderId="0" xfId="1" applyNumberFormat="1" applyFont="1" applyFill="1" applyBorder="1"/>
    <xf numFmtId="3" fontId="12" fillId="0" borderId="0" xfId="3" applyNumberFormat="1" applyFont="1" applyFill="1" applyBorder="1"/>
    <xf numFmtId="4" fontId="10" fillId="0" borderId="0" xfId="1" applyNumberFormat="1" applyFill="1" applyBorder="1"/>
    <xf numFmtId="4" fontId="0" fillId="0" borderId="0" xfId="0" applyNumberFormat="1"/>
    <xf numFmtId="0" fontId="12" fillId="0" borderId="0" xfId="3" applyFont="1" applyFill="1" applyBorder="1"/>
    <xf numFmtId="164" fontId="10" fillId="0" borderId="0" xfId="3" applyNumberFormat="1" applyFill="1" applyBorder="1"/>
    <xf numFmtId="0" fontId="12" fillId="0" borderId="0" xfId="3" applyNumberFormat="1" applyFont="1" applyFill="1" applyBorder="1"/>
    <xf numFmtId="164" fontId="10" fillId="0" borderId="0" xfId="0" applyNumberFormat="1" applyFont="1"/>
    <xf numFmtId="164" fontId="10" fillId="6" borderId="9" xfId="3" applyNumberFormat="1"/>
    <xf numFmtId="4" fontId="10" fillId="6" borderId="9" xfId="3" applyNumberFormat="1" applyAlignment="1">
      <alignment horizontal="right"/>
    </xf>
    <xf numFmtId="4" fontId="10" fillId="6" borderId="9" xfId="3" applyNumberFormat="1"/>
    <xf numFmtId="0" fontId="12" fillId="0" borderId="0" xfId="0" applyFont="1"/>
    <xf numFmtId="0" fontId="0" fillId="0" borderId="2" xfId="0" applyBorder="1"/>
    <xf numFmtId="0" fontId="0" fillId="0" borderId="3" xfId="0" applyBorder="1"/>
    <xf numFmtId="0" fontId="10" fillId="8" borderId="10" xfId="2" applyNumberFormat="1"/>
    <xf numFmtId="0" fontId="10" fillId="8" borderId="10" xfId="2"/>
    <xf numFmtId="0" fontId="4" fillId="0" borderId="0" xfId="0" applyFont="1" applyAlignment="1">
      <alignment horizontal="left"/>
    </xf>
    <xf numFmtId="3" fontId="2" fillId="2" borderId="0" xfId="2" applyNumberFormat="1" applyFont="1" applyFill="1" applyBorder="1"/>
    <xf numFmtId="1" fontId="10" fillId="6" borderId="9" xfId="3" applyNumberFormat="1"/>
    <xf numFmtId="0" fontId="15" fillId="0" borderId="0" xfId="0" applyFont="1"/>
    <xf numFmtId="0" fontId="10" fillId="9" borderId="18" xfId="9" applyFill="1" applyBorder="1" applyAlignment="1">
      <alignment horizontal="center" vertical="center" wrapText="1"/>
    </xf>
    <xf numFmtId="0" fontId="10" fillId="9" borderId="8" xfId="1" applyFill="1" applyAlignment="1">
      <alignment horizontal="center" vertical="center"/>
    </xf>
    <xf numFmtId="0" fontId="12" fillId="2" borderId="22" xfId="9" applyFont="1" applyFill="1" applyBorder="1"/>
    <xf numFmtId="0" fontId="12" fillId="2" borderId="23" xfId="9" applyFont="1" applyFill="1" applyBorder="1"/>
    <xf numFmtId="0" fontId="12" fillId="2" borderId="24" xfId="9" applyFont="1" applyFill="1" applyBorder="1"/>
    <xf numFmtId="1" fontId="10" fillId="4" borderId="1" xfId="9" applyNumberFormat="1" applyBorder="1" applyAlignment="1">
      <alignment horizontal="center" vertical="center"/>
    </xf>
    <xf numFmtId="3" fontId="2" fillId="8" borderId="13" xfId="2" applyNumberFormat="1" applyFont="1" applyBorder="1" applyAlignment="1">
      <alignment horizontal="center"/>
    </xf>
    <xf numFmtId="3" fontId="2" fillId="8" borderId="16" xfId="2" applyNumberFormat="1" applyFont="1" applyBorder="1" applyAlignment="1">
      <alignment horizontal="center"/>
    </xf>
    <xf numFmtId="0" fontId="0" fillId="10" borderId="35" xfId="0" applyFill="1" applyBorder="1" applyAlignment="1">
      <alignment horizontal="center" vertical="center"/>
    </xf>
    <xf numFmtId="0" fontId="0" fillId="10" borderId="34" xfId="0" applyFill="1" applyBorder="1" applyAlignment="1">
      <alignment horizontal="center" vertical="center"/>
    </xf>
    <xf numFmtId="1" fontId="10" fillId="8" borderId="19" xfId="10" applyNumberFormat="1" applyBorder="1" applyAlignment="1">
      <alignment horizontal="center"/>
    </xf>
    <xf numFmtId="167" fontId="10" fillId="8" borderId="21" xfId="10" applyNumberFormat="1" applyBorder="1" applyAlignment="1">
      <alignment horizontal="center"/>
    </xf>
    <xf numFmtId="0" fontId="0" fillId="8" borderId="39" xfId="0" applyFill="1" applyBorder="1" applyAlignment="1">
      <alignment horizontal="center"/>
    </xf>
    <xf numFmtId="0" fontId="0" fillId="10" borderId="42" xfId="0" applyFill="1" applyBorder="1" applyAlignment="1">
      <alignment horizontal="center" vertical="center"/>
    </xf>
    <xf numFmtId="0" fontId="0" fillId="10" borderId="41" xfId="0" applyFill="1" applyBorder="1" applyAlignment="1">
      <alignment horizontal="center" vertical="center"/>
    </xf>
    <xf numFmtId="167" fontId="10" fillId="4" borderId="15" xfId="9" applyNumberFormat="1" applyBorder="1" applyAlignment="1">
      <alignment horizontal="center" vertical="center"/>
    </xf>
    <xf numFmtId="0" fontId="10" fillId="4" borderId="13" xfId="9" applyBorder="1" applyAlignment="1" applyProtection="1">
      <alignment horizontal="center"/>
      <protection locked="0"/>
    </xf>
    <xf numFmtId="0" fontId="10" fillId="4" borderId="14" xfId="9" applyBorder="1" applyAlignment="1" applyProtection="1">
      <alignment horizontal="center"/>
      <protection locked="0"/>
    </xf>
    <xf numFmtId="0" fontId="10" fillId="4" borderId="16" xfId="9" applyBorder="1" applyAlignment="1" applyProtection="1">
      <alignment horizontal="center"/>
      <protection locked="0"/>
    </xf>
    <xf numFmtId="0" fontId="10" fillId="4" borderId="8" xfId="1" applyAlignment="1" applyProtection="1">
      <alignment horizontal="center"/>
      <protection locked="0"/>
    </xf>
    <xf numFmtId="0" fontId="10" fillId="2" borderId="11" xfId="9" applyFill="1" applyBorder="1" applyProtection="1">
      <protection locked="0"/>
    </xf>
    <xf numFmtId="0" fontId="10" fillId="2" borderId="21" xfId="9" applyFill="1" applyBorder="1" applyProtection="1">
      <protection locked="0"/>
    </xf>
    <xf numFmtId="0" fontId="0" fillId="8" borderId="14" xfId="0" applyFill="1" applyBorder="1" applyAlignment="1">
      <alignment horizontal="center"/>
    </xf>
    <xf numFmtId="0" fontId="0" fillId="8" borderId="16" xfId="0" applyFill="1" applyBorder="1" applyAlignment="1">
      <alignment horizontal="center"/>
    </xf>
    <xf numFmtId="0" fontId="9" fillId="0" borderId="0" xfId="0" applyFont="1"/>
    <xf numFmtId="0" fontId="10" fillId="4" borderId="8" xfId="9" applyAlignment="1">
      <alignment horizontal="center"/>
    </xf>
    <xf numFmtId="165" fontId="10" fillId="8" borderId="10" xfId="2" applyNumberFormat="1" applyAlignment="1">
      <alignment horizontal="center"/>
    </xf>
    <xf numFmtId="0" fontId="4" fillId="0" borderId="47" xfId="0" applyFont="1" applyBorder="1"/>
    <xf numFmtId="0" fontId="4" fillId="0" borderId="48" xfId="0" applyFont="1" applyBorder="1"/>
    <xf numFmtId="0" fontId="4" fillId="0" borderId="49" xfId="0" applyFont="1" applyBorder="1"/>
    <xf numFmtId="0" fontId="4" fillId="0" borderId="2" xfId="0" applyFont="1" applyBorder="1" applyAlignment="1">
      <alignment horizontal="center"/>
    </xf>
    <xf numFmtId="0" fontId="10" fillId="4" borderId="1" xfId="9" applyBorder="1" applyAlignment="1">
      <alignment horizontal="center"/>
    </xf>
    <xf numFmtId="0" fontId="10" fillId="4" borderId="6" xfId="9" applyBorder="1" applyAlignment="1">
      <alignment horizontal="center"/>
    </xf>
    <xf numFmtId="4" fontId="9" fillId="12" borderId="8" xfId="1" applyNumberFormat="1" applyFont="1" applyFill="1" applyAlignment="1">
      <alignment horizontal="right"/>
    </xf>
    <xf numFmtId="168" fontId="10" fillId="8" borderId="40" xfId="10" applyNumberFormat="1" applyBorder="1" applyAlignment="1">
      <alignment horizontal="center"/>
    </xf>
    <xf numFmtId="167" fontId="10" fillId="8" borderId="11" xfId="10" applyNumberFormat="1" applyBorder="1" applyAlignment="1">
      <alignment horizontal="center"/>
    </xf>
    <xf numFmtId="0" fontId="4" fillId="0" borderId="50" xfId="0" applyFont="1" applyBorder="1"/>
    <xf numFmtId="0" fontId="10" fillId="4" borderId="51" xfId="9" applyBorder="1" applyAlignment="1">
      <alignment horizontal="center"/>
    </xf>
    <xf numFmtId="0" fontId="4" fillId="0" borderId="52" xfId="0" applyFont="1" applyBorder="1"/>
    <xf numFmtId="165" fontId="10" fillId="8" borderId="53" xfId="2" applyNumberFormat="1" applyBorder="1" applyAlignment="1">
      <alignment horizontal="center"/>
    </xf>
    <xf numFmtId="0" fontId="10" fillId="2" borderId="50" xfId="9" applyFill="1" applyBorder="1" applyAlignment="1">
      <alignment horizontal="center" vertical="center" wrapText="1"/>
    </xf>
    <xf numFmtId="0" fontId="10" fillId="2" borderId="35" xfId="9" applyFill="1" applyBorder="1" applyAlignment="1">
      <alignment horizontal="center" vertical="center" wrapText="1"/>
    </xf>
    <xf numFmtId="0" fontId="12" fillId="2" borderId="30" xfId="9" applyFont="1" applyFill="1" applyBorder="1"/>
    <xf numFmtId="0" fontId="0" fillId="0" borderId="56" xfId="0" applyBorder="1" applyAlignment="1">
      <alignment horizontal="center" vertical="center"/>
    </xf>
    <xf numFmtId="0" fontId="0" fillId="0" borderId="13" xfId="0" applyBorder="1" applyAlignment="1">
      <alignment horizontal="center" vertical="center"/>
    </xf>
    <xf numFmtId="0" fontId="12" fillId="2" borderId="31" xfId="9" applyFont="1" applyFill="1" applyBorder="1"/>
    <xf numFmtId="0" fontId="0" fillId="0" borderId="57" xfId="0" applyBorder="1" applyAlignment="1">
      <alignment horizontal="center" vertical="center"/>
    </xf>
    <xf numFmtId="0" fontId="0" fillId="0" borderId="14" xfId="0" applyBorder="1" applyAlignment="1">
      <alignment horizontal="center" vertical="center"/>
    </xf>
    <xf numFmtId="0" fontId="12" fillId="2" borderId="32" xfId="9" applyFont="1" applyFill="1" applyBorder="1"/>
    <xf numFmtId="0" fontId="0" fillId="0" borderId="58" xfId="0" applyBorder="1" applyAlignment="1">
      <alignment horizontal="center" vertical="center"/>
    </xf>
    <xf numFmtId="0" fontId="0" fillId="0" borderId="16" xfId="0" applyBorder="1" applyAlignment="1">
      <alignment horizontal="center" vertical="center"/>
    </xf>
    <xf numFmtId="0" fontId="10" fillId="2" borderId="0" xfId="9" applyFill="1" applyBorder="1" applyAlignment="1"/>
    <xf numFmtId="0" fontId="10" fillId="2" borderId="0" xfId="9" applyFill="1" applyBorder="1" applyAlignment="1">
      <alignment horizontal="center" vertical="center" wrapText="1"/>
    </xf>
    <xf numFmtId="0" fontId="0" fillId="0" borderId="0" xfId="0" applyAlignment="1">
      <alignment horizontal="center" vertical="center"/>
    </xf>
    <xf numFmtId="0" fontId="12" fillId="2" borderId="0" xfId="9" applyFont="1" applyFill="1" applyBorder="1"/>
    <xf numFmtId="2" fontId="10" fillId="4" borderId="8" xfId="1" applyNumberFormat="1" applyAlignment="1" applyProtection="1">
      <alignment horizontal="center"/>
      <protection locked="0"/>
    </xf>
    <xf numFmtId="0" fontId="0" fillId="0" borderId="0" xfId="0" applyAlignment="1">
      <alignment horizontal="left" vertical="top" wrapText="1"/>
    </xf>
    <xf numFmtId="0" fontId="0" fillId="0" borderId="0" xfId="0" applyAlignment="1">
      <alignment horizontal="left" wrapText="1"/>
    </xf>
    <xf numFmtId="0" fontId="16" fillId="0" borderId="0" xfId="12" applyAlignment="1">
      <alignment horizontal="left" vertical="center" wrapText="1"/>
    </xf>
    <xf numFmtId="0" fontId="4" fillId="0" borderId="54" xfId="0" applyFont="1" applyBorder="1" applyAlignment="1">
      <alignment horizontal="left" vertical="center"/>
    </xf>
    <xf numFmtId="0" fontId="4" fillId="0" borderId="0" xfId="0" applyFont="1" applyAlignment="1">
      <alignment horizontal="left" vertical="center"/>
    </xf>
    <xf numFmtId="0" fontId="10" fillId="2" borderId="25" xfId="9" applyFill="1" applyBorder="1" applyAlignment="1">
      <alignment horizontal="center" vertical="center"/>
    </xf>
    <xf numFmtId="0" fontId="10" fillId="2" borderId="55" xfId="9" applyFill="1" applyBorder="1" applyAlignment="1">
      <alignment horizontal="center" vertical="center"/>
    </xf>
    <xf numFmtId="0" fontId="10" fillId="2" borderId="43" xfId="9" applyFill="1" applyBorder="1" applyAlignment="1">
      <alignment horizontal="center"/>
    </xf>
    <xf numFmtId="0" fontId="10" fillId="2" borderId="44" xfId="9" applyFill="1" applyBorder="1" applyAlignment="1">
      <alignment horizontal="center"/>
    </xf>
    <xf numFmtId="0" fontId="4" fillId="0" borderId="32" xfId="0" applyFont="1" applyBorder="1" applyAlignment="1">
      <alignment horizontal="left"/>
    </xf>
    <xf numFmtId="0" fontId="4" fillId="0" borderId="38" xfId="0" applyFont="1" applyBorder="1" applyAlignment="1">
      <alignment horizontal="left"/>
    </xf>
    <xf numFmtId="0" fontId="0" fillId="10" borderId="43" xfId="0" applyFill="1" applyBorder="1" applyAlignment="1">
      <alignment horizontal="center" vertical="center"/>
    </xf>
    <xf numFmtId="0" fontId="0" fillId="10" borderId="44" xfId="0" applyFill="1" applyBorder="1" applyAlignment="1">
      <alignment horizontal="center" vertical="center"/>
    </xf>
    <xf numFmtId="0" fontId="4" fillId="0" borderId="30" xfId="0" applyFont="1" applyBorder="1" applyAlignment="1">
      <alignment horizontal="left"/>
    </xf>
    <xf numFmtId="0" fontId="4" fillId="0" borderId="37" xfId="0" applyFont="1" applyBorder="1" applyAlignment="1">
      <alignment horizontal="left"/>
    </xf>
    <xf numFmtId="0" fontId="4" fillId="0" borderId="31" xfId="0" applyFont="1" applyBorder="1" applyAlignment="1">
      <alignment horizontal="left"/>
    </xf>
    <xf numFmtId="0" fontId="4" fillId="0" borderId="45" xfId="0" applyFont="1" applyBorder="1" applyAlignment="1">
      <alignment horizontal="left"/>
    </xf>
    <xf numFmtId="0" fontId="0" fillId="10" borderId="33" xfId="0" applyFill="1" applyBorder="1" applyAlignment="1">
      <alignment horizontal="center" vertical="center"/>
    </xf>
    <xf numFmtId="0" fontId="0" fillId="10" borderId="36" xfId="0" applyFill="1" applyBorder="1" applyAlignment="1">
      <alignment horizontal="center" vertical="center"/>
    </xf>
    <xf numFmtId="0" fontId="10" fillId="9" borderId="19" xfId="9" applyFill="1" applyBorder="1" applyAlignment="1">
      <alignment horizontal="center"/>
    </xf>
    <xf numFmtId="0" fontId="10" fillId="9" borderId="12" xfId="9" applyFill="1" applyBorder="1" applyAlignment="1">
      <alignment horizontal="center"/>
    </xf>
    <xf numFmtId="0" fontId="10" fillId="9" borderId="13" xfId="9" applyFill="1" applyBorder="1" applyAlignment="1">
      <alignment horizontal="center"/>
    </xf>
    <xf numFmtId="0" fontId="14" fillId="9" borderId="20" xfId="9" applyFont="1" applyFill="1" applyBorder="1" applyAlignment="1">
      <alignment horizontal="center" vertical="center" wrapText="1"/>
    </xf>
    <xf numFmtId="0" fontId="14" fillId="9" borderId="17" xfId="9" applyFont="1" applyFill="1" applyBorder="1" applyAlignment="1">
      <alignment horizontal="center" vertical="center" wrapText="1"/>
    </xf>
    <xf numFmtId="0" fontId="10" fillId="9" borderId="25" xfId="9" applyFill="1" applyBorder="1" applyAlignment="1">
      <alignment horizontal="center" vertical="center"/>
    </xf>
    <xf numFmtId="0" fontId="10" fillId="9" borderId="26" xfId="9" applyFill="1" applyBorder="1" applyAlignment="1">
      <alignment horizontal="center" vertical="center"/>
    </xf>
    <xf numFmtId="0" fontId="10" fillId="11" borderId="30" xfId="9" applyFill="1" applyBorder="1" applyAlignment="1">
      <alignment horizontal="center"/>
    </xf>
    <xf numFmtId="0" fontId="10" fillId="11" borderId="19" xfId="9" applyFill="1" applyBorder="1" applyAlignment="1">
      <alignment horizontal="center"/>
    </xf>
    <xf numFmtId="0" fontId="10" fillId="11" borderId="31" xfId="9" applyFill="1" applyBorder="1" applyAlignment="1">
      <alignment horizontal="center"/>
    </xf>
    <xf numFmtId="0" fontId="10" fillId="11" borderId="11" xfId="9" applyFill="1" applyBorder="1" applyAlignment="1">
      <alignment horizontal="center"/>
    </xf>
    <xf numFmtId="0" fontId="10" fillId="9" borderId="27" xfId="1" applyFill="1" applyBorder="1" applyAlignment="1">
      <alignment horizontal="center" vertical="center"/>
    </xf>
    <xf numFmtId="0" fontId="10" fillId="9" borderId="29" xfId="1" applyFill="1" applyBorder="1" applyAlignment="1">
      <alignment horizontal="center" vertical="center"/>
    </xf>
    <xf numFmtId="0" fontId="10" fillId="9" borderId="28" xfId="1" applyFill="1" applyBorder="1" applyAlignment="1">
      <alignment horizontal="center" vertical="center"/>
    </xf>
    <xf numFmtId="0" fontId="12" fillId="2" borderId="27" xfId="1" applyFont="1" applyFill="1" applyBorder="1" applyAlignment="1">
      <alignment horizontal="left"/>
    </xf>
    <xf numFmtId="0" fontId="12" fillId="2" borderId="29" xfId="1" applyFont="1" applyFill="1" applyBorder="1" applyAlignment="1">
      <alignment horizontal="left"/>
    </xf>
    <xf numFmtId="0" fontId="12" fillId="2" borderId="28" xfId="1" applyFont="1" applyFill="1" applyBorder="1" applyAlignment="1">
      <alignment horizontal="left"/>
    </xf>
    <xf numFmtId="0" fontId="5" fillId="0" borderId="46" xfId="0" applyFont="1" applyBorder="1" applyAlignment="1">
      <alignment horizontal="center" vertical="center" wrapText="1"/>
    </xf>
  </cellXfs>
  <cellStyles count="13">
    <cellStyle name="Area populated by macros" xfId="6" xr:uid="{B2773A75-3DC6-40CB-8F63-070DE029E37D}"/>
    <cellStyle name="Calculation" xfId="3" builtinId="22" customBuiltin="1"/>
    <cellStyle name="Calculations" xfId="7" xr:uid="{F3EE2F96-24A9-4E68-8B66-B6994B0904D4}"/>
    <cellStyle name="Heading 1" xfId="5" builtinId="16" customBuiltin="1"/>
    <cellStyle name="Hidden Areas" xfId="8" xr:uid="{26C31993-B1D4-4A4F-A3FF-8AE62A7D2E05}"/>
    <cellStyle name="Hyperlink" xfId="12" builtinId="8"/>
    <cellStyle name="Input" xfId="1" builtinId="20" customBuiltin="1"/>
    <cellStyle name="Inputs" xfId="9" xr:uid="{6E0CF7BA-BC44-4E8F-80F5-64CBE9D0D324}"/>
    <cellStyle name="Normal" xfId="0" builtinId="0"/>
    <cellStyle name="Output" xfId="2" builtinId="21" customBuiltin="1"/>
    <cellStyle name="Percent" xfId="4" builtinId="5"/>
    <cellStyle name="Results" xfId="10" xr:uid="{3514B589-251E-4C64-8D8D-56EEB9DA7210}"/>
    <cellStyle name="Titles" xfId="11" xr:uid="{9980A967-1D24-4A53-9740-5D00F722928F}"/>
  </cellStyles>
  <dxfs count="3">
    <dxf>
      <font>
        <color theme="2" tint="-0.24994659260841701"/>
      </font>
      <fill>
        <patternFill>
          <bgColor theme="0" tint="-0.14996795556505021"/>
        </patternFill>
      </fill>
    </dxf>
    <dxf>
      <font>
        <color rgb="FFC00000"/>
      </font>
      <fill>
        <patternFill>
          <bgColor rgb="FFFFA3A3"/>
        </patternFill>
      </fill>
    </dxf>
    <dxf>
      <font>
        <color theme="2" tint="-0.24994659260841701"/>
      </font>
      <fill>
        <patternFill>
          <bgColor theme="0" tint="-0.14996795556505021"/>
        </patternFill>
      </fill>
    </dxf>
  </dxfs>
  <tableStyles count="0" defaultTableStyle="TableStyleMedium2" defaultPivotStyle="PivotStyleLight16"/>
  <colors>
    <mruColors>
      <color rgb="FFFFA3A3"/>
      <color rgb="FFFBF05B"/>
      <color rgb="FFFFFF99"/>
      <color rgb="FF9CE8EC"/>
      <color rgb="FF005A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GB" b="1"/>
              <a:t>Influence of temperature</a:t>
            </a:r>
            <a:r>
              <a:rPr lang="en-GB" b="1" baseline="0"/>
              <a:t> on</a:t>
            </a:r>
            <a:r>
              <a:rPr lang="en-GB" b="1"/>
              <a:t> </a:t>
            </a:r>
            <a:r>
              <a:rPr lang="en-GB" b="1" baseline="0"/>
              <a:t>e</a:t>
            </a:r>
            <a:r>
              <a:rPr lang="en-GB" b="1"/>
              <a:t>nergy use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14075710449837353"/>
          <c:y val="0.23032730100381735"/>
          <c:w val="0.70027341407468535"/>
          <c:h val="0.61228191714972435"/>
        </c:manualLayout>
      </c:layout>
      <c:areaChart>
        <c:grouping val="stacked"/>
        <c:varyColors val="0"/>
        <c:ser>
          <c:idx val="0"/>
          <c:order val="0"/>
          <c:tx>
            <c:strRef>
              <c:f>Backend!$N$14</c:f>
              <c:strCache>
                <c:ptCount val="1"/>
                <c:pt idx="0">
                  <c:v>Base level</c:v>
                </c:pt>
              </c:strCache>
            </c:strRef>
          </c:tx>
          <c:spPr>
            <a:noFill/>
            <a:ln>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Backend!$O$14:$Z$14</c:f>
              <c:numCache>
                <c:formatCode>General</c:formatCode>
                <c:ptCount val="12"/>
                <c:pt idx="0" formatCode="#,##0">
                  <c:v>68.482036028175784</c:v>
                </c:pt>
                <c:pt idx="1">
                  <c:v>68.482036028175784</c:v>
                </c:pt>
                <c:pt idx="2">
                  <c:v>64.850029601561289</c:v>
                </c:pt>
                <c:pt idx="3">
                  <c:v>61.218023174946794</c:v>
                </c:pt>
                <c:pt idx="4">
                  <c:v>53.954010321717789</c:v>
                </c:pt>
                <c:pt idx="5">
                  <c:v>50.322003895103293</c:v>
                </c:pt>
                <c:pt idx="6">
                  <c:v>46.689997468488784</c:v>
                </c:pt>
                <c:pt idx="7">
                  <c:v>46.689997468488784</c:v>
                </c:pt>
                <c:pt idx="8">
                  <c:v>52.138007108410534</c:v>
                </c:pt>
                <c:pt idx="9">
                  <c:v>57.586016748332284</c:v>
                </c:pt>
                <c:pt idx="10">
                  <c:v>64.850029601561289</c:v>
                </c:pt>
                <c:pt idx="11">
                  <c:v>68.482036028175784</c:v>
                </c:pt>
              </c:numCache>
            </c:numRef>
          </c:val>
          <c:extLst>
            <c:ext xmlns:c16="http://schemas.microsoft.com/office/drawing/2014/chart" uri="{C3380CC4-5D6E-409C-BE32-E72D297353CC}">
              <c16:uniqueId val="{00000000-D163-4100-BF53-CB04AD68A6F9}"/>
            </c:ext>
          </c:extLst>
        </c:ser>
        <c:ser>
          <c:idx val="3"/>
          <c:order val="1"/>
          <c:tx>
            <c:strRef>
              <c:f>Backend!$N$15</c:f>
              <c:strCache>
                <c:ptCount val="1"/>
                <c:pt idx="0">
                  <c:v>Model Uncertainty</c:v>
                </c:pt>
              </c:strCache>
            </c:strRef>
          </c:tx>
          <c:spPr>
            <a:solidFill>
              <a:srgbClr val="005A9B">
                <a:alpha val="20000"/>
              </a:srgbClr>
            </a:solidFill>
            <a:ln w="25400">
              <a:noFill/>
            </a:ln>
            <a:effectLst/>
          </c:spPr>
          <c:val>
            <c:numRef>
              <c:f>Backend!$O$15:$Z$15</c:f>
              <c:numCache>
                <c:formatCode>#,##0</c:formatCode>
                <c:ptCount val="12"/>
                <c:pt idx="0">
                  <c:v>22.502810603686086</c:v>
                </c:pt>
                <c:pt idx="1">
                  <c:v>22.502810603686086</c:v>
                </c:pt>
                <c:pt idx="2">
                  <c:v>22.502810603686086</c:v>
                </c:pt>
                <c:pt idx="3">
                  <c:v>22.502810603686086</c:v>
                </c:pt>
                <c:pt idx="4">
                  <c:v>22.502810603686086</c:v>
                </c:pt>
                <c:pt idx="5">
                  <c:v>22.502810603686086</c:v>
                </c:pt>
                <c:pt idx="6">
                  <c:v>22.502810603686086</c:v>
                </c:pt>
                <c:pt idx="7">
                  <c:v>22.502810603686086</c:v>
                </c:pt>
                <c:pt idx="8">
                  <c:v>22.502810603686086</c:v>
                </c:pt>
                <c:pt idx="9">
                  <c:v>22.502810603686086</c:v>
                </c:pt>
                <c:pt idx="10">
                  <c:v>22.502810603686086</c:v>
                </c:pt>
                <c:pt idx="11">
                  <c:v>22.502810603686086</c:v>
                </c:pt>
              </c:numCache>
            </c:numRef>
          </c:val>
          <c:extLst>
            <c:ext xmlns:c16="http://schemas.microsoft.com/office/drawing/2014/chart" uri="{C3380CC4-5D6E-409C-BE32-E72D297353CC}">
              <c16:uniqueId val="{00000001-D163-4100-BF53-CB04AD68A6F9}"/>
            </c:ext>
          </c:extLst>
        </c:ser>
        <c:ser>
          <c:idx val="2"/>
          <c:order val="2"/>
          <c:tx>
            <c:strRef>
              <c:f>Backend!$N$16</c:f>
              <c:strCache>
                <c:ptCount val="1"/>
                <c:pt idx="0">
                  <c:v>Temperature Uncertainty</c:v>
                </c:pt>
              </c:strCache>
            </c:strRef>
          </c:tx>
          <c:spPr>
            <a:solidFill>
              <a:srgbClr val="005A9B">
                <a:alpha val="60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Backend!$O$16:$Z$16</c:f>
              <c:numCache>
                <c:formatCode>#,##0</c:formatCode>
                <c:ptCount val="12"/>
                <c:pt idx="0">
                  <c:v>10.896019279843529</c:v>
                </c:pt>
                <c:pt idx="1">
                  <c:v>10.896019279843529</c:v>
                </c:pt>
                <c:pt idx="2">
                  <c:v>12.712022493150755</c:v>
                </c:pt>
                <c:pt idx="3">
                  <c:v>14.52802570645801</c:v>
                </c:pt>
                <c:pt idx="4">
                  <c:v>16.34402891976525</c:v>
                </c:pt>
                <c:pt idx="5">
                  <c:v>14.528025706457996</c:v>
                </c:pt>
                <c:pt idx="6">
                  <c:v>14.52802570645801</c:v>
                </c:pt>
                <c:pt idx="7">
                  <c:v>14.52802570645801</c:v>
                </c:pt>
                <c:pt idx="8">
                  <c:v>12.712022493150755</c:v>
                </c:pt>
                <c:pt idx="9">
                  <c:v>10.8960192798435</c:v>
                </c:pt>
                <c:pt idx="10">
                  <c:v>9.0800160665362455</c:v>
                </c:pt>
                <c:pt idx="11">
                  <c:v>9.0800160665362597</c:v>
                </c:pt>
              </c:numCache>
            </c:numRef>
          </c:val>
          <c:extLst>
            <c:ext xmlns:c16="http://schemas.microsoft.com/office/drawing/2014/chart" uri="{C3380CC4-5D6E-409C-BE32-E72D297353CC}">
              <c16:uniqueId val="{00000002-D163-4100-BF53-CB04AD68A6F9}"/>
            </c:ext>
          </c:extLst>
        </c:ser>
        <c:ser>
          <c:idx val="1"/>
          <c:order val="3"/>
          <c:tx>
            <c:strRef>
              <c:f>Backend!$N$17</c:f>
              <c:strCache>
                <c:ptCount val="1"/>
                <c:pt idx="0">
                  <c:v>Model Uncertainty upper</c:v>
                </c:pt>
              </c:strCache>
            </c:strRef>
          </c:tx>
          <c:spPr>
            <a:solidFill>
              <a:srgbClr val="005A9B">
                <a:alpha val="20000"/>
              </a:srgbClr>
            </a:solidFill>
            <a:ln>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Backend!$O$17:$Z$17</c:f>
              <c:numCache>
                <c:formatCode>General</c:formatCode>
                <c:ptCount val="12"/>
                <c:pt idx="0" formatCode="#,##0">
                  <c:v>22.502810603686086</c:v>
                </c:pt>
                <c:pt idx="1">
                  <c:v>22.502810603686086</c:v>
                </c:pt>
                <c:pt idx="2">
                  <c:v>22.502810603686086</c:v>
                </c:pt>
                <c:pt idx="3">
                  <c:v>22.502810603686086</c:v>
                </c:pt>
                <c:pt idx="4">
                  <c:v>22.502810603686086</c:v>
                </c:pt>
                <c:pt idx="5">
                  <c:v>22.502810603686086</c:v>
                </c:pt>
                <c:pt idx="6">
                  <c:v>22.502810603686086</c:v>
                </c:pt>
                <c:pt idx="7">
                  <c:v>22.502810603686086</c:v>
                </c:pt>
                <c:pt idx="8">
                  <c:v>22.502810603686086</c:v>
                </c:pt>
                <c:pt idx="9">
                  <c:v>22.502810603686086</c:v>
                </c:pt>
                <c:pt idx="10">
                  <c:v>22.502810603686086</c:v>
                </c:pt>
                <c:pt idx="11">
                  <c:v>22.502810603686086</c:v>
                </c:pt>
              </c:numCache>
            </c:numRef>
          </c:val>
          <c:extLst>
            <c:ext xmlns:c16="http://schemas.microsoft.com/office/drawing/2014/chart" uri="{C3380CC4-5D6E-409C-BE32-E72D297353CC}">
              <c16:uniqueId val="{00000003-D163-4100-BF53-CB04AD68A6F9}"/>
            </c:ext>
          </c:extLst>
        </c:ser>
        <c:dLbls>
          <c:showLegendKey val="0"/>
          <c:showVal val="0"/>
          <c:showCatName val="0"/>
          <c:showSerName val="0"/>
          <c:showPercent val="0"/>
          <c:showBubbleSize val="0"/>
        </c:dLbls>
        <c:axId val="1764805744"/>
        <c:axId val="1764806160"/>
      </c:areaChart>
      <c:lineChart>
        <c:grouping val="standard"/>
        <c:varyColors val="0"/>
        <c:ser>
          <c:idx val="4"/>
          <c:order val="4"/>
          <c:tx>
            <c:strRef>
              <c:f>Backend!$N$10</c:f>
              <c:strCache>
                <c:ptCount val="1"/>
                <c:pt idx="0">
                  <c:v>Predicted Energy Use</c:v>
                </c:pt>
              </c:strCache>
            </c:strRef>
          </c:tx>
          <c:spPr>
            <a:ln w="19050" cap="rnd">
              <a:solidFill>
                <a:srgbClr val="002060"/>
              </a:solidFill>
              <a:round/>
            </a:ln>
            <a:effectLst/>
          </c:spPr>
          <c:marker>
            <c:symbol val="circle"/>
            <c:size val="4"/>
            <c:spPr>
              <a:solidFill>
                <a:srgbClr val="002060"/>
              </a:solidFill>
              <a:ln w="9525">
                <a:solidFill>
                  <a:srgbClr val="002060"/>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Backend!$O$10:$Z$10</c:f>
              <c:numCache>
                <c:formatCode>#,##0</c:formatCode>
                <c:ptCount val="12"/>
                <c:pt idx="0">
                  <c:v>96.432856271783621</c:v>
                </c:pt>
                <c:pt idx="1">
                  <c:v>96.432856271783621</c:v>
                </c:pt>
                <c:pt idx="2">
                  <c:v>93.708851451822753</c:v>
                </c:pt>
                <c:pt idx="3">
                  <c:v>90.98484663186187</c:v>
                </c:pt>
                <c:pt idx="4">
                  <c:v>84.628835385286493</c:v>
                </c:pt>
                <c:pt idx="5">
                  <c:v>80.08882735201837</c:v>
                </c:pt>
                <c:pt idx="6">
                  <c:v>76.456820925403875</c:v>
                </c:pt>
                <c:pt idx="7">
                  <c:v>76.456820925403875</c:v>
                </c:pt>
                <c:pt idx="8">
                  <c:v>80.996828958671998</c:v>
                </c:pt>
                <c:pt idx="9">
                  <c:v>85.536836991940135</c:v>
                </c:pt>
                <c:pt idx="10">
                  <c:v>91.892848238515498</c:v>
                </c:pt>
                <c:pt idx="11">
                  <c:v>95.524854665129993</c:v>
                </c:pt>
              </c:numCache>
            </c:numRef>
          </c:val>
          <c:smooth val="0"/>
          <c:extLst>
            <c:ext xmlns:c16="http://schemas.microsoft.com/office/drawing/2014/chart" uri="{C3380CC4-5D6E-409C-BE32-E72D297353CC}">
              <c16:uniqueId val="{00000004-D163-4100-BF53-CB04AD68A6F9}"/>
            </c:ext>
          </c:extLst>
        </c:ser>
        <c:ser>
          <c:idx val="5"/>
          <c:order val="5"/>
          <c:tx>
            <c:strRef>
              <c:f>Backend!$N$19</c:f>
              <c:strCache>
                <c:ptCount val="1"/>
                <c:pt idx="0">
                  <c:v>Terberg Kerbloader Battery</c:v>
                </c:pt>
              </c:strCache>
            </c:strRef>
          </c:tx>
          <c:spPr>
            <a:ln w="19050" cap="rnd">
              <a:solidFill>
                <a:srgbClr val="C00000"/>
              </a:solidFill>
              <a:prstDash val="dash"/>
              <a:round/>
            </a:ln>
            <a:effectLst/>
          </c:spPr>
          <c:marker>
            <c:symbol val="none"/>
          </c:marker>
          <c:val>
            <c:numRef>
              <c:f>Backend!$O$19:$Z$19</c:f>
              <c:numCache>
                <c:formatCode>General</c:formatCode>
                <c:ptCount val="12"/>
                <c:pt idx="0">
                  <c:v>140</c:v>
                </c:pt>
                <c:pt idx="1">
                  <c:v>140</c:v>
                </c:pt>
                <c:pt idx="2">
                  <c:v>140</c:v>
                </c:pt>
                <c:pt idx="3">
                  <c:v>140</c:v>
                </c:pt>
                <c:pt idx="4">
                  <c:v>140</c:v>
                </c:pt>
                <c:pt idx="5">
                  <c:v>140</c:v>
                </c:pt>
                <c:pt idx="6">
                  <c:v>140</c:v>
                </c:pt>
                <c:pt idx="7">
                  <c:v>140</c:v>
                </c:pt>
                <c:pt idx="8">
                  <c:v>140</c:v>
                </c:pt>
                <c:pt idx="9">
                  <c:v>140</c:v>
                </c:pt>
                <c:pt idx="10">
                  <c:v>140</c:v>
                </c:pt>
                <c:pt idx="11">
                  <c:v>140</c:v>
                </c:pt>
              </c:numCache>
            </c:numRef>
          </c:val>
          <c:smooth val="0"/>
          <c:extLst>
            <c:ext xmlns:c16="http://schemas.microsoft.com/office/drawing/2014/chart" uri="{C3380CC4-5D6E-409C-BE32-E72D297353CC}">
              <c16:uniqueId val="{00000005-D163-4100-BF53-CB04AD68A6F9}"/>
            </c:ext>
          </c:extLst>
        </c:ser>
        <c:ser>
          <c:idx val="7"/>
          <c:order val="7"/>
          <c:tx>
            <c:strRef>
              <c:f>Backend!$N$21</c:f>
              <c:strCache>
                <c:ptCount val="1"/>
              </c:strCache>
            </c:strRef>
          </c:tx>
          <c:spPr>
            <a:ln w="25400" cap="rnd">
              <a:solidFill>
                <a:srgbClr val="C00000"/>
              </a:solidFill>
              <a:prstDash val="sysDot"/>
              <a:round/>
            </a:ln>
            <a:effectLst/>
          </c:spPr>
          <c:marker>
            <c:symbol val="none"/>
          </c:marker>
          <c:val>
            <c:numRef>
              <c:f>Backend!$O$21:$Z$21</c:f>
              <c:numCache>
                <c:formatCode>General</c:formatCode>
                <c:ptCount val="12"/>
              </c:numCache>
            </c:numRef>
          </c:val>
          <c:smooth val="0"/>
          <c:extLst>
            <c:ext xmlns:c16="http://schemas.microsoft.com/office/drawing/2014/chart" uri="{C3380CC4-5D6E-409C-BE32-E72D297353CC}">
              <c16:uniqueId val="{00000000-200C-4827-AC8C-FF8030A3A50C}"/>
            </c:ext>
          </c:extLst>
        </c:ser>
        <c:dLbls>
          <c:showLegendKey val="0"/>
          <c:showVal val="0"/>
          <c:showCatName val="0"/>
          <c:showSerName val="0"/>
          <c:showPercent val="0"/>
          <c:showBubbleSize val="0"/>
        </c:dLbls>
        <c:marker val="1"/>
        <c:smooth val="0"/>
        <c:axId val="1764805744"/>
        <c:axId val="1764806160"/>
      </c:lineChart>
      <c:lineChart>
        <c:grouping val="standard"/>
        <c:varyColors val="0"/>
        <c:ser>
          <c:idx val="6"/>
          <c:order val="6"/>
          <c:tx>
            <c:strRef>
              <c:f>Backend!$N$20</c:f>
              <c:strCache>
                <c:ptCount val="1"/>
                <c:pt idx="0">
                  <c:v>Battery capacity</c:v>
                </c:pt>
              </c:strCache>
            </c:strRef>
          </c:tx>
          <c:spPr>
            <a:ln w="19050" cap="rnd">
              <a:noFill/>
              <a:round/>
            </a:ln>
            <a:effectLst/>
          </c:spPr>
          <c:marker>
            <c:symbol val="none"/>
          </c:marker>
          <c:val>
            <c:numRef>
              <c:f>Backend!$O$20:$Z$20</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9EF9-40FB-87D1-DD89775AE24C}"/>
            </c:ext>
          </c:extLst>
        </c:ser>
        <c:dLbls>
          <c:showLegendKey val="0"/>
          <c:showVal val="0"/>
          <c:showCatName val="0"/>
          <c:showSerName val="0"/>
          <c:showPercent val="0"/>
          <c:showBubbleSize val="0"/>
        </c:dLbls>
        <c:marker val="1"/>
        <c:smooth val="0"/>
        <c:axId val="1187751264"/>
        <c:axId val="1187752512"/>
      </c:lineChart>
      <c:catAx>
        <c:axId val="17648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6350" cap="flat" cmpd="sng" algn="ctr">
            <a:solidFill>
              <a:schemeClr val="dk1"/>
            </a:solidFill>
            <a:prstDash val="solid"/>
            <a:miter lim="800000"/>
          </a:ln>
          <a:effectLst/>
        </c:spPr>
        <c:txPr>
          <a:bodyPr rot="5400000" spcFirstLastPara="1" vertOverflow="ellipsis" wrap="square" anchor="ctr" anchorCtr="1"/>
          <a:lstStyle/>
          <a:p>
            <a:pPr>
              <a:defRPr sz="900" b="0" i="0" u="none" strike="noStrike" kern="1200" baseline="0">
                <a:solidFill>
                  <a:schemeClr val="dk1"/>
                </a:solidFill>
                <a:latin typeface="+mn-lt"/>
                <a:ea typeface="+mn-ea"/>
                <a:cs typeface="+mn-cs"/>
              </a:defRPr>
            </a:pPr>
            <a:endParaRPr lang="en-US"/>
          </a:p>
        </c:txPr>
        <c:crossAx val="1764806160"/>
        <c:crosses val="autoZero"/>
        <c:auto val="1"/>
        <c:lblAlgn val="ctr"/>
        <c:lblOffset val="100"/>
        <c:noMultiLvlLbl val="0"/>
      </c:catAx>
      <c:valAx>
        <c:axId val="1764806160"/>
        <c:scaling>
          <c:orientation val="minMax"/>
          <c:max val="16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Energy (kWh)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764805744"/>
        <c:crosses val="autoZero"/>
        <c:crossBetween val="between"/>
      </c:valAx>
      <c:valAx>
        <c:axId val="1187752512"/>
        <c:scaling>
          <c:orientation val="minMax"/>
          <c:max val="1.11111111"/>
          <c:min val="0"/>
        </c:scaling>
        <c:delete val="0"/>
        <c:axPos val="r"/>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Battery capacity used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187751264"/>
        <c:crosses val="max"/>
        <c:crossBetween val="between"/>
      </c:valAx>
      <c:catAx>
        <c:axId val="1187751264"/>
        <c:scaling>
          <c:orientation val="minMax"/>
        </c:scaling>
        <c:delete val="1"/>
        <c:axPos val="b"/>
        <c:majorTickMark val="out"/>
        <c:minorTickMark val="none"/>
        <c:tickLblPos val="nextTo"/>
        <c:crossAx val="1187752512"/>
        <c:crosses val="autoZero"/>
        <c:auto val="1"/>
        <c:lblAlgn val="ctr"/>
        <c:lblOffset val="100"/>
        <c:noMultiLvlLbl val="0"/>
      </c:catAx>
      <c:spPr>
        <a:solidFill>
          <a:schemeClr val="lt1"/>
        </a:solidFill>
        <a:ln w="12700" cap="flat" cmpd="sng" algn="ctr">
          <a:solidFill>
            <a:schemeClr val="dk1"/>
          </a:solidFill>
          <a:prstDash val="solid"/>
          <a:miter lim="800000"/>
        </a:ln>
        <a:effectLst/>
      </c:spPr>
    </c:plotArea>
    <c:legend>
      <c:legendPos val="t"/>
      <c:legendEntry>
        <c:idx val="0"/>
        <c:delete val="1"/>
      </c:legendEntry>
      <c:legendEntry>
        <c:idx val="3"/>
        <c:delete val="1"/>
      </c:legendEntry>
      <c:legendEntry>
        <c:idx val="6"/>
        <c:delete val="1"/>
      </c:legendEntry>
      <c:legendEntry>
        <c:idx val="7"/>
        <c:delete val="1"/>
      </c:legendEntry>
      <c:layout>
        <c:manualLayout>
          <c:xMode val="edge"/>
          <c:yMode val="edge"/>
          <c:x val="3.8253679858392509E-2"/>
          <c:y val="7.5084358358075309E-2"/>
          <c:w val="0.93764358473061837"/>
          <c:h val="0.122324331966633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r>
              <a:rPr lang="en-GB" b="1"/>
              <a:t>Influence of temperature</a:t>
            </a:r>
            <a:r>
              <a:rPr lang="en-GB" b="1" baseline="0"/>
              <a:t> on</a:t>
            </a:r>
            <a:r>
              <a:rPr lang="en-GB" b="1"/>
              <a:t> estimated range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dk1"/>
              </a:solidFill>
              <a:latin typeface="+mn-lt"/>
              <a:ea typeface="+mn-ea"/>
              <a:cs typeface="+mn-cs"/>
            </a:defRPr>
          </a:pPr>
          <a:endParaRPr lang="en-US"/>
        </a:p>
      </c:txPr>
    </c:title>
    <c:autoTitleDeleted val="0"/>
    <c:plotArea>
      <c:layout/>
      <c:areaChart>
        <c:grouping val="stacked"/>
        <c:varyColors val="0"/>
        <c:ser>
          <c:idx val="0"/>
          <c:order val="0"/>
          <c:tx>
            <c:strRef>
              <c:f>Backend!$N$14</c:f>
              <c:strCache>
                <c:ptCount val="1"/>
                <c:pt idx="0">
                  <c:v>Base level</c:v>
                </c:pt>
              </c:strCache>
            </c:strRef>
          </c:tx>
          <c:spPr>
            <a:no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Backend!$O$29:$Z$29</c:f>
              <c:numCache>
                <c:formatCode>General</c:formatCode>
                <c:ptCount val="12"/>
                <c:pt idx="0" formatCode="#,##0">
                  <c:v>46.131209563194062</c:v>
                </c:pt>
                <c:pt idx="1">
                  <c:v>46.131209563194062</c:v>
                </c:pt>
                <c:pt idx="2">
                  <c:v>46.968410779899003</c:v>
                </c:pt>
                <c:pt idx="3">
                  <c:v>47.836561161972135</c:v>
                </c:pt>
                <c:pt idx="4">
                  <c:v>50.644876460656846</c:v>
                </c:pt>
                <c:pt idx="5">
                  <c:v>53.803488985699062</c:v>
                </c:pt>
                <c:pt idx="6">
                  <c:v>56.137610720404169</c:v>
                </c:pt>
                <c:pt idx="7">
                  <c:v>56.137610720404169</c:v>
                </c:pt>
                <c:pt idx="8">
                  <c:v>53.803488985699062</c:v>
                </c:pt>
                <c:pt idx="9">
                  <c:v>51.655717955639318</c:v>
                </c:pt>
                <c:pt idx="10">
                  <c:v>48.737409193880211</c:v>
                </c:pt>
                <c:pt idx="11">
                  <c:v>46.968410779899003</c:v>
                </c:pt>
              </c:numCache>
            </c:numRef>
          </c:val>
          <c:extLst>
            <c:ext xmlns:c16="http://schemas.microsoft.com/office/drawing/2014/chart" uri="{C3380CC4-5D6E-409C-BE32-E72D297353CC}">
              <c16:uniqueId val="{00000000-CC6C-476B-9F8C-6D3AC5BD6429}"/>
            </c:ext>
          </c:extLst>
        </c:ser>
        <c:ser>
          <c:idx val="3"/>
          <c:order val="1"/>
          <c:tx>
            <c:strRef>
              <c:f>Backend!$N$15</c:f>
              <c:strCache>
                <c:ptCount val="1"/>
                <c:pt idx="0">
                  <c:v>Model Uncertainty</c:v>
                </c:pt>
              </c:strCache>
            </c:strRef>
          </c:tx>
          <c:spPr>
            <a:solidFill>
              <a:srgbClr val="005A9B">
                <a:alpha val="20000"/>
              </a:srgbClr>
            </a:solidFill>
            <a:ln w="25400">
              <a:noFill/>
            </a:ln>
            <a:effectLst/>
          </c:spPr>
          <c:val>
            <c:numRef>
              <c:f>Backend!$O$30:$Z$30</c:f>
              <c:numCache>
                <c:formatCode>#,##0</c:formatCode>
                <c:ptCount val="12"/>
                <c:pt idx="0">
                  <c:v>8.8349506660801467</c:v>
                </c:pt>
                <c:pt idx="1">
                  <c:v>8.8349506660801467</c:v>
                </c:pt>
                <c:pt idx="2">
                  <c:v>8.9952896538761991</c:v>
                </c:pt>
                <c:pt idx="3">
                  <c:v>9.1615559596804701</c:v>
                </c:pt>
                <c:pt idx="4">
                  <c:v>9.6993985038845025</c:v>
                </c:pt>
                <c:pt idx="5">
                  <c:v>10.30432922424167</c:v>
                </c:pt>
                <c:pt idx="6">
                  <c:v>10.751355230496628</c:v>
                </c:pt>
                <c:pt idx="7">
                  <c:v>10.751355230496628</c:v>
                </c:pt>
                <c:pt idx="8">
                  <c:v>10.30432922424167</c:v>
                </c:pt>
                <c:pt idx="9">
                  <c:v>9.8929927066803884</c:v>
                </c:pt>
                <c:pt idx="10">
                  <c:v>9.3340844495012405</c:v>
                </c:pt>
                <c:pt idx="11">
                  <c:v>8.9952896538761991</c:v>
                </c:pt>
              </c:numCache>
            </c:numRef>
          </c:val>
          <c:extLst>
            <c:ext xmlns:c16="http://schemas.microsoft.com/office/drawing/2014/chart" uri="{C3380CC4-5D6E-409C-BE32-E72D297353CC}">
              <c16:uniqueId val="{00000001-CC6C-476B-9F8C-6D3AC5BD6429}"/>
            </c:ext>
          </c:extLst>
        </c:ser>
        <c:ser>
          <c:idx val="2"/>
          <c:order val="2"/>
          <c:tx>
            <c:strRef>
              <c:f>Backend!$N$16</c:f>
              <c:strCache>
                <c:ptCount val="1"/>
                <c:pt idx="0">
                  <c:v>Temperature Uncertainty</c:v>
                </c:pt>
              </c:strCache>
            </c:strRef>
          </c:tx>
          <c:spPr>
            <a:solidFill>
              <a:srgbClr val="005A9B">
                <a:alpha val="60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Backend!$O$31:$Z$31</c:f>
              <c:numCache>
                <c:formatCode>#,##0</c:formatCode>
                <c:ptCount val="12"/>
                <c:pt idx="0">
                  <c:v>6.5825504330454976</c:v>
                </c:pt>
                <c:pt idx="1">
                  <c:v>6.5825504330454976</c:v>
                </c:pt>
                <c:pt idx="2">
                  <c:v>8.1441177761655297</c:v>
                </c:pt>
                <c:pt idx="3">
                  <c:v>9.890848829248192</c:v>
                </c:pt>
                <c:pt idx="4">
                  <c:v>12.899680672375801</c:v>
                </c:pt>
                <c:pt idx="5">
                  <c:v>12.789047762757264</c:v>
                </c:pt>
                <c:pt idx="6">
                  <c:v>14.044300901900613</c:v>
                </c:pt>
                <c:pt idx="7">
                  <c:v>14.044300901900613</c:v>
                </c:pt>
                <c:pt idx="8">
                  <c:v>10.918155133494906</c:v>
                </c:pt>
                <c:pt idx="9">
                  <c:v>8.3736516090873181</c:v>
                </c:pt>
                <c:pt idx="10">
                  <c:v>6.03632456655928</c:v>
                </c:pt>
                <c:pt idx="11">
                  <c:v>5.5850102285445047</c:v>
                </c:pt>
              </c:numCache>
            </c:numRef>
          </c:val>
          <c:extLst>
            <c:ext xmlns:c16="http://schemas.microsoft.com/office/drawing/2014/chart" uri="{C3380CC4-5D6E-409C-BE32-E72D297353CC}">
              <c16:uniqueId val="{00000002-CC6C-476B-9F8C-6D3AC5BD6429}"/>
            </c:ext>
          </c:extLst>
        </c:ser>
        <c:ser>
          <c:idx val="1"/>
          <c:order val="3"/>
          <c:tx>
            <c:strRef>
              <c:f>Backend!$N$17</c:f>
              <c:strCache>
                <c:ptCount val="1"/>
                <c:pt idx="0">
                  <c:v>Model Uncertainty upper</c:v>
                </c:pt>
              </c:strCache>
            </c:strRef>
          </c:tx>
          <c:spPr>
            <a:solidFill>
              <a:srgbClr val="005A9B">
                <a:alpha val="20000"/>
              </a:srgbClr>
            </a:solidFill>
            <a:ln w="25400">
              <a:noFill/>
            </a:ln>
            <a:effectLst/>
          </c:spPr>
          <c:cat>
            <c:strRef>
              <c:f>Backend!$O$3:$Z$3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Backend!$O$32:$Z$32</c:f>
              <c:numCache>
                <c:formatCode>General</c:formatCode>
                <c:ptCount val="12"/>
                <c:pt idx="0" formatCode="#,##0">
                  <c:v>9.8929927066803884</c:v>
                </c:pt>
                <c:pt idx="1">
                  <c:v>9.8929927066803884</c:v>
                </c:pt>
                <c:pt idx="2">
                  <c:v>10.30432922424167</c:v>
                </c:pt>
                <c:pt idx="3">
                  <c:v>10.751355230496628</c:v>
                </c:pt>
                <c:pt idx="4">
                  <c:v>11.77282043973095</c:v>
                </c:pt>
                <c:pt idx="5">
                  <c:v>12.359968650004689</c:v>
                </c:pt>
                <c:pt idx="6">
                  <c:v>13.008756968044111</c:v>
                </c:pt>
                <c:pt idx="7">
                  <c:v>13.008756968044111</c:v>
                </c:pt>
                <c:pt idx="8">
                  <c:v>12.059251917889526</c:v>
                </c:pt>
                <c:pt idx="9">
                  <c:v>11.238926251112844</c:v>
                </c:pt>
                <c:pt idx="10">
                  <c:v>10.30432922424167</c:v>
                </c:pt>
                <c:pt idx="11">
                  <c:v>9.8929927066803884</c:v>
                </c:pt>
              </c:numCache>
            </c:numRef>
          </c:val>
          <c:extLst>
            <c:ext xmlns:c16="http://schemas.microsoft.com/office/drawing/2014/chart" uri="{C3380CC4-5D6E-409C-BE32-E72D297353CC}">
              <c16:uniqueId val="{00000003-CC6C-476B-9F8C-6D3AC5BD6429}"/>
            </c:ext>
          </c:extLst>
        </c:ser>
        <c:dLbls>
          <c:showLegendKey val="0"/>
          <c:showVal val="0"/>
          <c:showCatName val="0"/>
          <c:showSerName val="0"/>
          <c:showPercent val="0"/>
          <c:showBubbleSize val="0"/>
        </c:dLbls>
        <c:axId val="1764805744"/>
        <c:axId val="1764806160"/>
      </c:areaChart>
      <c:lineChart>
        <c:grouping val="standard"/>
        <c:varyColors val="0"/>
        <c:ser>
          <c:idx val="4"/>
          <c:order val="4"/>
          <c:tx>
            <c:strRef>
              <c:f>Backend!$N$10</c:f>
              <c:strCache>
                <c:ptCount val="1"/>
                <c:pt idx="0">
                  <c:v>Predicted Energy Use</c:v>
                </c:pt>
              </c:strCache>
            </c:strRef>
          </c:tx>
          <c:spPr>
            <a:ln w="19050" cap="rnd">
              <a:solidFill>
                <a:srgbClr val="002060"/>
              </a:solidFill>
              <a:round/>
            </a:ln>
            <a:effectLst/>
          </c:spPr>
          <c:marker>
            <c:symbol val="circle"/>
            <c:size val="4"/>
            <c:spPr>
              <a:solidFill>
                <a:srgbClr val="002060"/>
              </a:solidFill>
              <a:ln w="9525">
                <a:solidFill>
                  <a:srgbClr val="00206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Backend!$O$25:$Z$25</c:f>
              <c:numCache>
                <c:formatCode>#,##0</c:formatCode>
                <c:ptCount val="12"/>
                <c:pt idx="0">
                  <c:v>58.071493643381451</c:v>
                </c:pt>
                <c:pt idx="1">
                  <c:v>58.071493643381451</c:v>
                </c:pt>
                <c:pt idx="2">
                  <c:v>59.759562872020169</c:v>
                </c:pt>
                <c:pt idx="3">
                  <c:v>61.548710662319706</c:v>
                </c:pt>
                <c:pt idx="4">
                  <c:v>66.171299350925622</c:v>
                </c:pt>
                <c:pt idx="5">
                  <c:v>69.922362271407025</c:v>
                </c:pt>
                <c:pt idx="6">
                  <c:v>73.24395563691715</c:v>
                </c:pt>
                <c:pt idx="7">
                  <c:v>73.24395563691715</c:v>
                </c:pt>
                <c:pt idx="8">
                  <c:v>69.138509149010716</c:v>
                </c:pt>
                <c:pt idx="9">
                  <c:v>65.468869284091838</c:v>
                </c:pt>
                <c:pt idx="10">
                  <c:v>60.940542243992006</c:v>
                </c:pt>
                <c:pt idx="11">
                  <c:v>58.623486208183692</c:v>
                </c:pt>
              </c:numCache>
            </c:numRef>
          </c:val>
          <c:smooth val="0"/>
          <c:extLst>
            <c:ext xmlns:c16="http://schemas.microsoft.com/office/drawing/2014/chart" uri="{C3380CC4-5D6E-409C-BE32-E72D297353CC}">
              <c16:uniqueId val="{00000004-CC6C-476B-9F8C-6D3AC5BD6429}"/>
            </c:ext>
          </c:extLst>
        </c:ser>
        <c:ser>
          <c:idx val="5"/>
          <c:order val="5"/>
          <c:tx>
            <c:strRef>
              <c:f>Backend!$N$34</c:f>
              <c:strCache>
                <c:ptCount val="1"/>
                <c:pt idx="0">
                  <c:v>Round distance</c:v>
                </c:pt>
              </c:strCache>
            </c:strRef>
          </c:tx>
          <c:spPr>
            <a:ln w="19050" cap="rnd">
              <a:solidFill>
                <a:schemeClr val="accent2"/>
              </a:solidFill>
              <a:prstDash val="dash"/>
              <a:round/>
            </a:ln>
            <a:effectLst/>
          </c:spPr>
          <c:marker>
            <c:symbol val="none"/>
          </c:marker>
          <c:val>
            <c:numRef>
              <c:f>Backend!$O$34:$Z$34</c:f>
              <c:numCache>
                <c:formatCode>General</c:formatCode>
                <c:ptCount val="12"/>
                <c:pt idx="0">
                  <c:v>40</c:v>
                </c:pt>
                <c:pt idx="1">
                  <c:v>40</c:v>
                </c:pt>
                <c:pt idx="2">
                  <c:v>40</c:v>
                </c:pt>
                <c:pt idx="3">
                  <c:v>40</c:v>
                </c:pt>
                <c:pt idx="4">
                  <c:v>40</c:v>
                </c:pt>
                <c:pt idx="5">
                  <c:v>40</c:v>
                </c:pt>
                <c:pt idx="6">
                  <c:v>40</c:v>
                </c:pt>
                <c:pt idx="7">
                  <c:v>40</c:v>
                </c:pt>
                <c:pt idx="8">
                  <c:v>40</c:v>
                </c:pt>
                <c:pt idx="9">
                  <c:v>40</c:v>
                </c:pt>
                <c:pt idx="10">
                  <c:v>40</c:v>
                </c:pt>
                <c:pt idx="11">
                  <c:v>40</c:v>
                </c:pt>
              </c:numCache>
            </c:numRef>
          </c:val>
          <c:smooth val="0"/>
          <c:extLst>
            <c:ext xmlns:c16="http://schemas.microsoft.com/office/drawing/2014/chart" uri="{C3380CC4-5D6E-409C-BE32-E72D297353CC}">
              <c16:uniqueId val="{00000005-CC6C-476B-9F8C-6D3AC5BD6429}"/>
            </c:ext>
          </c:extLst>
        </c:ser>
        <c:dLbls>
          <c:showLegendKey val="0"/>
          <c:showVal val="0"/>
          <c:showCatName val="0"/>
          <c:showSerName val="0"/>
          <c:showPercent val="0"/>
          <c:showBubbleSize val="0"/>
        </c:dLbls>
        <c:marker val="1"/>
        <c:smooth val="0"/>
        <c:axId val="1764805744"/>
        <c:axId val="1764806160"/>
      </c:lineChart>
      <c:catAx>
        <c:axId val="1764805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6350" cap="flat" cmpd="sng" algn="ctr">
            <a:solidFill>
              <a:schemeClr val="dk1"/>
            </a:solidFill>
            <a:prstDash val="solid"/>
            <a:miter lim="800000"/>
          </a:ln>
          <a:effectLst/>
        </c:spPr>
        <c:txPr>
          <a:bodyPr rot="5400000" spcFirstLastPara="1" vertOverflow="ellipsis" wrap="square" anchor="ctr" anchorCtr="1"/>
          <a:lstStyle/>
          <a:p>
            <a:pPr>
              <a:defRPr sz="900" b="0" i="0" u="none" strike="noStrike" kern="1200" baseline="0">
                <a:solidFill>
                  <a:schemeClr val="dk1"/>
                </a:solidFill>
                <a:latin typeface="+mn-lt"/>
                <a:ea typeface="+mn-ea"/>
                <a:cs typeface="+mn-cs"/>
              </a:defRPr>
            </a:pPr>
            <a:endParaRPr lang="en-US"/>
          </a:p>
        </c:txPr>
        <c:crossAx val="1764806160"/>
        <c:crosses val="autoZero"/>
        <c:auto val="1"/>
        <c:lblAlgn val="ctr"/>
        <c:lblOffset val="100"/>
        <c:noMultiLvlLbl val="0"/>
      </c:catAx>
      <c:valAx>
        <c:axId val="1764806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en-GB"/>
                  <a:t>Estimated Range</a:t>
                </a:r>
                <a:r>
                  <a:rPr lang="en-GB" baseline="0"/>
                  <a:t> (miles)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title>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1764805744"/>
        <c:crosses val="autoZero"/>
        <c:crossBetween val="between"/>
      </c:valAx>
      <c:spPr>
        <a:solidFill>
          <a:schemeClr val="lt1"/>
        </a:solidFill>
        <a:ln w="12700" cap="flat" cmpd="sng" algn="ctr">
          <a:solidFill>
            <a:schemeClr val="dk1"/>
          </a:solidFill>
          <a:prstDash val="solid"/>
          <a:miter lim="800000"/>
        </a:ln>
        <a:effectLst/>
      </c:spPr>
    </c:plotArea>
    <c:legend>
      <c:legendPos val="t"/>
      <c:legendEntry>
        <c:idx val="0"/>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38575806296464"/>
          <c:y val="6.3492063492063489E-2"/>
          <c:w val="0.70170718189022185"/>
          <c:h val="0.7068608090655335"/>
        </c:manualLayout>
      </c:layout>
      <c:barChart>
        <c:barDir val="bar"/>
        <c:grouping val="stacked"/>
        <c:varyColors val="0"/>
        <c:ser>
          <c:idx val="0"/>
          <c:order val="0"/>
          <c:tx>
            <c:v>Low</c:v>
          </c:tx>
          <c:spPr>
            <a:noFill/>
            <a:ln>
              <a:noFill/>
            </a:ln>
            <a:effectLst/>
          </c:spPr>
          <c:invertIfNegative val="0"/>
          <c:cat>
            <c:strRef>
              <c:f>Sensitivity!$G$4:$M$4</c:f>
              <c:strCache>
                <c:ptCount val="7"/>
                <c:pt idx="0">
                  <c:v>Round time (hours)</c:v>
                </c:pt>
                <c:pt idx="1">
                  <c:v>Distance (miles)</c:v>
                </c:pt>
                <c:pt idx="2">
                  <c:v>Elevation gain (m)</c:v>
                </c:pt>
                <c:pt idx="3">
                  <c:v>Bins emptied</c:v>
                </c:pt>
                <c:pt idx="4">
                  <c:v>Load collected (tonnes)</c:v>
                </c:pt>
                <c:pt idx="5">
                  <c:v>EEDI</c:v>
                </c:pt>
                <c:pt idx="6">
                  <c:v>Temperature (oC)</c:v>
                </c:pt>
              </c:strCache>
            </c:strRef>
          </c:cat>
          <c:val>
            <c:numRef>
              <c:f>Sensitivity!$G$34:$M$34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0B3-4F82-BA66-E0E7B6413FD7}"/>
            </c:ext>
          </c:extLst>
        </c:ser>
        <c:ser>
          <c:idx val="1"/>
          <c:order val="1"/>
          <c:tx>
            <c:v>Baseline</c:v>
          </c:tx>
          <c:spPr>
            <a:solidFill>
              <a:schemeClr val="accent2"/>
            </a:solidFill>
            <a:ln>
              <a:noFill/>
            </a:ln>
            <a:effectLst/>
          </c:spPr>
          <c:invertIfNegative val="0"/>
          <c:cat>
            <c:strRef>
              <c:f>Sensitivity!$G$4:$M$4</c:f>
              <c:strCache>
                <c:ptCount val="7"/>
                <c:pt idx="0">
                  <c:v>Round time (hours)</c:v>
                </c:pt>
                <c:pt idx="1">
                  <c:v>Distance (miles)</c:v>
                </c:pt>
                <c:pt idx="2">
                  <c:v>Elevation gain (m)</c:v>
                </c:pt>
                <c:pt idx="3">
                  <c:v>Bins emptied</c:v>
                </c:pt>
                <c:pt idx="4">
                  <c:v>Load collected (tonnes)</c:v>
                </c:pt>
                <c:pt idx="5">
                  <c:v>EEDI</c:v>
                </c:pt>
                <c:pt idx="6">
                  <c:v>Temperature (oC)</c:v>
                </c:pt>
              </c:strCache>
            </c:strRef>
          </c:cat>
          <c:val>
            <c:numRef>
              <c:f>Sensitivity!$G$37:$M$37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B0B3-4F82-BA66-E0E7B6413FD7}"/>
            </c:ext>
          </c:extLst>
        </c:ser>
        <c:ser>
          <c:idx val="2"/>
          <c:order val="2"/>
          <c:tx>
            <c:v>High</c:v>
          </c:tx>
          <c:spPr>
            <a:solidFill>
              <a:schemeClr val="accent3"/>
            </a:solidFill>
            <a:ln>
              <a:noFill/>
            </a:ln>
            <a:effectLst/>
          </c:spPr>
          <c:invertIfNegative val="0"/>
          <c:cat>
            <c:strRef>
              <c:f>Sensitivity!$G$4:$M$4</c:f>
              <c:strCache>
                <c:ptCount val="7"/>
                <c:pt idx="0">
                  <c:v>Round time (hours)</c:v>
                </c:pt>
                <c:pt idx="1">
                  <c:v>Distance (miles)</c:v>
                </c:pt>
                <c:pt idx="2">
                  <c:v>Elevation gain (m)</c:v>
                </c:pt>
                <c:pt idx="3">
                  <c:v>Bins emptied</c:v>
                </c:pt>
                <c:pt idx="4">
                  <c:v>Load collected (tonnes)</c:v>
                </c:pt>
                <c:pt idx="5">
                  <c:v>EEDI</c:v>
                </c:pt>
                <c:pt idx="6">
                  <c:v>Temperature (oC)</c:v>
                </c:pt>
              </c:strCache>
            </c:strRef>
          </c:cat>
          <c:val>
            <c:numRef>
              <c:f>Sensitivity!$P$37:$V$37</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B0B3-4F82-BA66-E0E7B6413FD7}"/>
            </c:ext>
          </c:extLst>
        </c:ser>
        <c:dLbls>
          <c:showLegendKey val="0"/>
          <c:showVal val="0"/>
          <c:showCatName val="0"/>
          <c:showSerName val="0"/>
          <c:showPercent val="0"/>
          <c:showBubbleSize val="0"/>
        </c:dLbls>
        <c:gapWidth val="150"/>
        <c:overlap val="100"/>
        <c:axId val="2118810031"/>
        <c:axId val="2118806703"/>
      </c:barChart>
      <c:catAx>
        <c:axId val="21188100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806703"/>
        <c:crosses val="autoZero"/>
        <c:auto val="1"/>
        <c:lblAlgn val="ctr"/>
        <c:lblOffset val="100"/>
        <c:noMultiLvlLbl val="0"/>
      </c:catAx>
      <c:valAx>
        <c:axId val="211880670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Daily</a:t>
                </a:r>
                <a:r>
                  <a:rPr lang="en-GB" baseline="0"/>
                  <a:t> Energy Use (kWh)</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88100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35979</xdr:colOff>
      <xdr:row>1</xdr:row>
      <xdr:rowOff>0</xdr:rowOff>
    </xdr:from>
    <xdr:to>
      <xdr:col>12</xdr:col>
      <xdr:colOff>406607</xdr:colOff>
      <xdr:row>17</xdr:row>
      <xdr:rowOff>21167</xdr:rowOff>
    </xdr:to>
    <xdr:graphicFrame macro="">
      <xdr:nvGraphicFramePr>
        <xdr:cNvPr id="4" name="Chart 3">
          <a:extLst>
            <a:ext uri="{FF2B5EF4-FFF2-40B4-BE49-F238E27FC236}">
              <a16:creationId xmlns:a16="http://schemas.microsoft.com/office/drawing/2014/main" id="{06D5C395-C783-41B3-A4CC-DEEBF0882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401740</xdr:colOff>
      <xdr:row>1</xdr:row>
      <xdr:rowOff>0</xdr:rowOff>
    </xdr:from>
    <xdr:to>
      <xdr:col>19</xdr:col>
      <xdr:colOff>296425</xdr:colOff>
      <xdr:row>17</xdr:row>
      <xdr:rowOff>21167</xdr:rowOff>
    </xdr:to>
    <xdr:graphicFrame macro="">
      <xdr:nvGraphicFramePr>
        <xdr:cNvPr id="5" name="Chart 4">
          <a:extLst>
            <a:ext uri="{FF2B5EF4-FFF2-40B4-BE49-F238E27FC236}">
              <a16:creationId xmlns:a16="http://schemas.microsoft.com/office/drawing/2014/main" id="{240A4D9D-8E09-49B6-989B-598AE0EB90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121920</xdr:colOff>
      <xdr:row>12</xdr:row>
      <xdr:rowOff>100012</xdr:rowOff>
    </xdr:from>
    <xdr:to>
      <xdr:col>4</xdr:col>
      <xdr:colOff>487680</xdr:colOff>
      <xdr:row>29</xdr:row>
      <xdr:rowOff>22860</xdr:rowOff>
    </xdr:to>
    <xdr:graphicFrame macro="">
      <xdr:nvGraphicFramePr>
        <xdr:cNvPr id="2" name="Chart 1">
          <a:extLst>
            <a:ext uri="{FF2B5EF4-FFF2-40B4-BE49-F238E27FC236}">
              <a16:creationId xmlns:a16="http://schemas.microsoft.com/office/drawing/2014/main" id="{44343D10-FC8A-4FC9-9414-D40513631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64EF9B5-1A08-4432-BD6F-FC4E00357213}" name="Table1" displayName="Table1" ref="A1:B5" totalsRowShown="0">
  <autoFilter ref="A1:B5" xr:uid="{F64EF9B5-1A08-4432-BD6F-FC4E00357213}"/>
  <tableColumns count="2">
    <tableColumn id="1" xr3:uid="{5BD5CCEB-545A-425C-B981-8FDDECD5B3A4}" name="EEDI"/>
    <tableColumn id="2" xr3:uid="{7429E3A8-04EB-4345-960C-85531FE65A65}" name="Column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A04BE5-4369-4B99-AF0A-9FFA050E398D}" name="Table2" displayName="Table2" ref="D1:E7" totalsRowShown="0">
  <autoFilter ref="D1:E7" xr:uid="{8CA04BE5-4369-4B99-AF0A-9FFA050E398D}"/>
  <tableColumns count="2">
    <tableColumn id="1" xr3:uid="{B98E10D3-B6E5-47C8-B904-92169E1BB61D}" name="Elevation Gain"/>
    <tableColumn id="2" xr3:uid="{EAD71C1B-76FA-4684-AD74-3C6CB14C77CD}" name="elev/mi"/>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41E390-FB83-4C46-B30B-67556F326099}" name="Table3" displayName="Table3" ref="G1:H6" totalsRowShown="0">
  <autoFilter ref="G1:H6" xr:uid="{0941E390-FB83-4C46-B30B-67556F326099}"/>
  <tableColumns count="2">
    <tableColumn id="1" xr3:uid="{80B78914-3C31-4E66-9DC6-CFEBEB730D28}" name="Bins"/>
    <tableColumn id="2" xr3:uid="{31AD4224-BD68-4D68-998F-2D15D368C937}" name="lifts_per_mi"/>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525086A-CA4B-4089-B78C-48BE767CE5E9}" name="Table5" displayName="Table5" ref="J1:K5" totalsRowShown="0">
  <autoFilter ref="J1:K5" xr:uid="{2525086A-CA4B-4089-B78C-48BE767CE5E9}"/>
  <tableColumns count="2">
    <tableColumn id="1" xr3:uid="{3C280EC0-767F-475E-A82E-0AD44AF4A2F3}" name="Load"/>
    <tableColumn id="2" xr3:uid="{5B0EC2F4-D119-424F-B0E2-8AD0C02C888A}" name="load_per_lift"/>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A3BAFE-D230-4456-A685-756BC3DE2DED}" name="Table57" displayName="Table57" ref="M1:N5" totalsRowShown="0">
  <autoFilter ref="M1:N5" xr:uid="{47A3BAFE-D230-4456-A685-756BC3DE2DED}"/>
  <tableColumns count="2">
    <tableColumn id="1" xr3:uid="{AB345122-D82A-4445-BC24-6FF75FA87F36}" name="Temp"/>
    <tableColumn id="2" xr3:uid="{C895AFC6-523F-416F-B422-905256CFB834}" name="Avg Temp"/>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enex.co.uk/projects-case-studies/ultra-low-emission-waste-and-recycling-vehicles/" TargetMode="External"/><Relationship Id="rId1" Type="http://schemas.openxmlformats.org/officeDocument/2006/relationships/hyperlink" Target="https://www.cenex.co.uk/projects-case-studies/ultra-low-emission-waste-and-recycling-vehicl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950AC-6BBD-40FD-B5A0-7A058E87F874}">
  <dimension ref="A2:D22"/>
  <sheetViews>
    <sheetView showGridLines="0" workbookViewId="0">
      <selection activeCell="D7" sqref="D7"/>
    </sheetView>
  </sheetViews>
  <sheetFormatPr defaultRowHeight="14.4" x14ac:dyDescent="0.3"/>
  <cols>
    <col min="2" max="2" width="23.109375" customWidth="1"/>
    <col min="3" max="3" width="12.44140625" bestFit="1" customWidth="1"/>
    <col min="4" max="4" width="146.109375" bestFit="1" customWidth="1"/>
  </cols>
  <sheetData>
    <row r="2" spans="1:4" x14ac:dyDescent="0.3">
      <c r="B2" s="2" t="s">
        <v>139</v>
      </c>
    </row>
    <row r="3" spans="1:4" ht="115.8" customHeight="1" x14ac:dyDescent="0.3">
      <c r="B3" s="108" t="s">
        <v>141</v>
      </c>
      <c r="C3" s="108"/>
      <c r="D3" s="108"/>
    </row>
    <row r="4" spans="1:4" x14ac:dyDescent="0.3">
      <c r="B4" s="109" t="s">
        <v>140</v>
      </c>
      <c r="C4" s="109"/>
      <c r="D4" s="109"/>
    </row>
    <row r="6" spans="1:4" ht="15" thickBot="1" x14ac:dyDescent="0.35">
      <c r="B6" s="2" t="s">
        <v>65</v>
      </c>
    </row>
    <row r="7" spans="1:4" ht="15" thickBot="1" x14ac:dyDescent="0.35">
      <c r="B7" s="4" t="s">
        <v>54</v>
      </c>
      <c r="C7" s="76" t="s">
        <v>67</v>
      </c>
    </row>
    <row r="8" spans="1:4" ht="15" thickBot="1" x14ac:dyDescent="0.35">
      <c r="B8" s="6" t="s">
        <v>66</v>
      </c>
      <c r="C8" s="77" t="s">
        <v>68</v>
      </c>
    </row>
    <row r="10" spans="1:4" x14ac:dyDescent="0.3">
      <c r="A10" s="2">
        <v>1</v>
      </c>
      <c r="B10" s="2" t="s">
        <v>51</v>
      </c>
    </row>
    <row r="11" spans="1:4" ht="90.6" customHeight="1" x14ac:dyDescent="0.3">
      <c r="B11" s="107" t="s">
        <v>136</v>
      </c>
      <c r="C11" s="107"/>
      <c r="D11" s="107"/>
    </row>
    <row r="13" spans="1:4" x14ac:dyDescent="0.3">
      <c r="B13" s="7" t="s">
        <v>46</v>
      </c>
      <c r="C13" s="81" t="s">
        <v>48</v>
      </c>
      <c r="D13" s="7" t="s">
        <v>47</v>
      </c>
    </row>
    <row r="14" spans="1:4" x14ac:dyDescent="0.3">
      <c r="B14" s="78" t="s">
        <v>30</v>
      </c>
      <c r="C14" s="82">
        <v>6.5</v>
      </c>
      <c r="D14" s="8" t="s">
        <v>138</v>
      </c>
    </row>
    <row r="15" spans="1:4" x14ac:dyDescent="0.3">
      <c r="B15" s="79" t="s">
        <v>29</v>
      </c>
      <c r="C15" s="82">
        <v>35</v>
      </c>
      <c r="D15" s="8" t="s">
        <v>132</v>
      </c>
    </row>
    <row r="16" spans="1:4" x14ac:dyDescent="0.3">
      <c r="B16" s="79" t="s">
        <v>133</v>
      </c>
      <c r="C16" s="82">
        <v>600</v>
      </c>
      <c r="D16" s="8" t="s">
        <v>131</v>
      </c>
    </row>
    <row r="17" spans="1:4" ht="15" thickBot="1" x14ac:dyDescent="0.35">
      <c r="B17" s="80" t="s">
        <v>105</v>
      </c>
      <c r="C17" s="83">
        <v>12</v>
      </c>
      <c r="D17" s="10" t="s">
        <v>49</v>
      </c>
    </row>
    <row r="18" spans="1:4" ht="15" thickTop="1" x14ac:dyDescent="0.3">
      <c r="B18" s="6" t="s">
        <v>35</v>
      </c>
      <c r="C18" s="11" t="s">
        <v>50</v>
      </c>
      <c r="D18" s="9" t="s">
        <v>53</v>
      </c>
    </row>
    <row r="20" spans="1:4" x14ac:dyDescent="0.3">
      <c r="A20" s="2">
        <v>2</v>
      </c>
      <c r="B20" s="2" t="s">
        <v>52</v>
      </c>
    </row>
    <row r="21" spans="1:4" ht="110.25" customHeight="1" x14ac:dyDescent="0.3">
      <c r="B21" s="107" t="s">
        <v>134</v>
      </c>
      <c r="C21" s="107"/>
      <c r="D21" s="107"/>
    </row>
    <row r="22" spans="1:4" x14ac:dyDescent="0.3">
      <c r="B22" s="12"/>
    </row>
  </sheetData>
  <sheetProtection algorithmName="SHA-512" hashValue="jBwhhhYAwUSa9RsqxjqPoiN9rd2NlX7lnUvnhBjjqHk4B54ehRtoP+1cGiUh6dLJ+SMIMvj/OZXTs9Lf1KX/nw==" saltValue="j/6nSI1ZwgMFNsTPON03bg==" spinCount="100000" sheet="1" objects="1" scenarios="1"/>
  <mergeCells count="4">
    <mergeCell ref="B11:D11"/>
    <mergeCell ref="B21:D21"/>
    <mergeCell ref="B3:D3"/>
    <mergeCell ref="B4:D4"/>
  </mergeCells>
  <hyperlinks>
    <hyperlink ref="B4" r:id="rId1" display="https://www.cenex.co.uk/projects-case-studies/ultra-low-emission-waste-and-recycling-vehicles/" xr:uid="{F84A24A8-BA78-4FC3-8FD6-979E55C580D0}"/>
    <hyperlink ref="B4:D4" r:id="rId2" display="Ultra-Low Emission Waste and Recycling Vehicles - Cenex" xr:uid="{BCBD5047-C836-4563-86FD-36EAE2DDBF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488B6-8516-4F48-A11D-2C070922B324}">
  <dimension ref="B1:G35"/>
  <sheetViews>
    <sheetView showGridLines="0" tabSelected="1" zoomScaleNormal="100" workbookViewId="0">
      <selection activeCell="G22" sqref="G22"/>
    </sheetView>
  </sheetViews>
  <sheetFormatPr defaultRowHeight="14.4" x14ac:dyDescent="0.3"/>
  <cols>
    <col min="1" max="1" width="5.6640625" customWidth="1"/>
    <col min="2" max="2" width="28.5546875" bestFit="1" customWidth="1"/>
    <col min="3" max="3" width="17.88671875" customWidth="1"/>
    <col min="4" max="4" width="20.88671875" customWidth="1"/>
    <col min="5" max="5" width="12.5546875" customWidth="1"/>
    <col min="6" max="6" width="7.6640625" customWidth="1"/>
    <col min="7" max="7" width="12.88671875" customWidth="1"/>
    <col min="9" max="9" width="9.109375" customWidth="1"/>
    <col min="10" max="10" width="9.33203125" customWidth="1"/>
    <col min="12" max="12" width="10.88671875" bestFit="1" customWidth="1"/>
    <col min="16" max="16" width="11.109375" bestFit="1" customWidth="1"/>
  </cols>
  <sheetData>
    <row r="1" spans="2:7" ht="31.2" customHeight="1" thickBot="1" x14ac:dyDescent="0.5">
      <c r="B1" s="50" t="s">
        <v>106</v>
      </c>
      <c r="G1" s="50" t="s">
        <v>119</v>
      </c>
    </row>
    <row r="2" spans="2:7" x14ac:dyDescent="0.3">
      <c r="B2" s="131" t="s">
        <v>108</v>
      </c>
      <c r="C2" s="126" t="s">
        <v>76</v>
      </c>
      <c r="D2" s="127"/>
      <c r="E2" s="128"/>
    </row>
    <row r="3" spans="2:7" ht="48.6" customHeight="1" thickBot="1" x14ac:dyDescent="0.35">
      <c r="B3" s="132"/>
      <c r="C3" s="129" t="s">
        <v>128</v>
      </c>
      <c r="D3" s="130"/>
      <c r="E3" s="51" t="s">
        <v>104</v>
      </c>
      <c r="G3" s="3"/>
    </row>
    <row r="4" spans="2:7" x14ac:dyDescent="0.3">
      <c r="B4" s="53" t="s">
        <v>30</v>
      </c>
      <c r="C4" s="133"/>
      <c r="D4" s="134"/>
      <c r="E4" s="67">
        <v>7</v>
      </c>
      <c r="F4" s="75">
        <f>IF(OR(E4&lt;Backend!C4,E4&gt;Backend!D4),1,0)</f>
        <v>0</v>
      </c>
      <c r="G4" s="3"/>
    </row>
    <row r="5" spans="2:7" x14ac:dyDescent="0.3">
      <c r="B5" s="54" t="s">
        <v>29</v>
      </c>
      <c r="C5" s="135"/>
      <c r="D5" s="136"/>
      <c r="E5" s="68">
        <v>40</v>
      </c>
      <c r="F5" s="75">
        <f>IF(OR(E5&lt;Backend!C5,E5&gt;Backend!D5),1,0)</f>
        <v>0</v>
      </c>
      <c r="G5" s="3"/>
    </row>
    <row r="6" spans="2:7" x14ac:dyDescent="0.3">
      <c r="B6" s="54" t="s">
        <v>133</v>
      </c>
      <c r="C6" s="71" t="s">
        <v>89</v>
      </c>
      <c r="D6" s="56">
        <f>IF(C6="Custom",E6,VLOOKUP(C6,Dropdowns!D3:E7,2,FALSE)*E5)</f>
        <v>600</v>
      </c>
      <c r="E6" s="68">
        <v>600</v>
      </c>
      <c r="F6" s="75">
        <f>IF(OR(E6&lt;Backend!C6,E6&gt;Backend!D6),1,0)</f>
        <v>0</v>
      </c>
      <c r="G6" s="3"/>
    </row>
    <row r="7" spans="2:7" ht="15" thickBot="1" x14ac:dyDescent="0.35">
      <c r="B7" s="55" t="s">
        <v>105</v>
      </c>
      <c r="C7" s="72" t="s">
        <v>89</v>
      </c>
      <c r="D7" s="66">
        <f>IF(C7="Custom",E7,VLOOKUP(C7,Dropdowns!M3:N5,2,FALSE))</f>
        <v>15</v>
      </c>
      <c r="E7" s="69">
        <v>15</v>
      </c>
      <c r="F7" s="75">
        <f>IF(OR(E7&lt;Backend!C10,E7&gt;Backend!D10),1,0)</f>
        <v>0</v>
      </c>
    </row>
    <row r="8" spans="2:7" ht="33.6" customHeight="1" thickBot="1" x14ac:dyDescent="0.35">
      <c r="B8" s="143" t="str">
        <f>IF(SUM(F4:F7)&gt;0,"WARNING: One or more inputs outside of model training values. Model results may not be accurate.","")</f>
        <v/>
      </c>
      <c r="C8" s="143"/>
      <c r="D8" s="143"/>
      <c r="E8" s="143"/>
    </row>
    <row r="9" spans="2:7" ht="27" customHeight="1" thickBot="1" x14ac:dyDescent="0.35">
      <c r="B9" s="137" t="s">
        <v>107</v>
      </c>
      <c r="C9" s="138"/>
      <c r="D9" s="139"/>
      <c r="E9" s="52" t="s">
        <v>54</v>
      </c>
    </row>
    <row r="10" spans="2:7" ht="15" thickBot="1" x14ac:dyDescent="0.35">
      <c r="B10" s="140" t="s">
        <v>58</v>
      </c>
      <c r="C10" s="141"/>
      <c r="D10" s="142"/>
      <c r="E10" s="106">
        <v>0.3</v>
      </c>
    </row>
    <row r="11" spans="2:7" ht="15" thickBot="1" x14ac:dyDescent="0.35">
      <c r="B11" s="140" t="s">
        <v>59</v>
      </c>
      <c r="C11" s="141"/>
      <c r="D11" s="142"/>
      <c r="E11" s="70">
        <v>8</v>
      </c>
    </row>
    <row r="12" spans="2:7" x14ac:dyDescent="0.3">
      <c r="B12" s="2"/>
      <c r="C12" s="2"/>
      <c r="D12" s="2"/>
    </row>
    <row r="13" spans="2:7" ht="24" thickBot="1" x14ac:dyDescent="0.5">
      <c r="B13" s="50" t="s">
        <v>109</v>
      </c>
      <c r="C13" s="2"/>
      <c r="D13" s="2"/>
    </row>
    <row r="14" spans="2:7" ht="20.399999999999999" customHeight="1" thickBot="1" x14ac:dyDescent="0.35">
      <c r="B14" s="124" t="s">
        <v>110</v>
      </c>
      <c r="C14" s="125"/>
      <c r="D14" s="60" t="s">
        <v>33</v>
      </c>
      <c r="E14" s="59" t="s">
        <v>34</v>
      </c>
      <c r="F14" s="47"/>
    </row>
    <row r="15" spans="2:7" x14ac:dyDescent="0.3">
      <c r="B15" s="120" t="s">
        <v>35</v>
      </c>
      <c r="C15" s="121"/>
      <c r="D15" s="61">
        <f>Backend!$J$10*$E$4</f>
        <v>76.456820925403875</v>
      </c>
      <c r="E15" s="57" t="str">
        <f>_xlfn.CONCAT(" ± ",ROUND(Backend!$G$14,0)," kWh")</f>
        <v xml:space="preserve"> ± 23 kWh</v>
      </c>
      <c r="F15" s="48"/>
    </row>
    <row r="16" spans="2:7" ht="15" thickBot="1" x14ac:dyDescent="0.35">
      <c r="B16" s="116" t="s">
        <v>55</v>
      </c>
      <c r="C16" s="117"/>
      <c r="D16" s="62">
        <f>Backend!$O$19/D15*E5</f>
        <v>73.24395563691715</v>
      </c>
      <c r="E16" s="58" t="str">
        <f>_xlfn.CONCAT(" ± ",ROUND(Backend!$G$14/Backend!$O$19*$D$16,0)," miles")</f>
        <v xml:space="preserve"> ± 12 miles</v>
      </c>
      <c r="F16" s="48"/>
    </row>
    <row r="17" spans="2:7" ht="15" thickBot="1" x14ac:dyDescent="0.35"/>
    <row r="18" spans="2:7" ht="20.399999999999999" customHeight="1" thickBot="1" x14ac:dyDescent="0.35">
      <c r="B18" s="118" t="s">
        <v>111</v>
      </c>
      <c r="C18" s="119"/>
      <c r="D18" s="64" t="s">
        <v>33</v>
      </c>
      <c r="E18" s="65" t="s">
        <v>34</v>
      </c>
    </row>
    <row r="19" spans="2:7" x14ac:dyDescent="0.3">
      <c r="B19" s="120" t="s">
        <v>62</v>
      </c>
      <c r="C19" s="121"/>
      <c r="D19" s="85">
        <f>D15/Backend!$G$15*$E$10</f>
        <v>26.364421008759958</v>
      </c>
      <c r="E19" s="63" t="str">
        <f>_xlfn.CONCAT(" ± £",MROUND(ROUND(Backend!$G$14,0)/Backend!$G$15*$E$10,0.01))</f>
        <v xml:space="preserve"> ± £7.93</v>
      </c>
    </row>
    <row r="20" spans="2:7" x14ac:dyDescent="0.3">
      <c r="B20" s="122" t="s">
        <v>57</v>
      </c>
      <c r="C20" s="123"/>
      <c r="D20" s="86">
        <f>D15/Backend!$G$15/40</f>
        <v>2.1970350840633297</v>
      </c>
      <c r="E20" s="73" t="str">
        <f>_xlfn.CONCAT(" ± ",MROUND(ROUND(Backend!$G$14,0)/Backend!$G$15/40,0.1))</f>
        <v xml:space="preserve"> ± 0.7</v>
      </c>
      <c r="G20" s="105"/>
    </row>
    <row r="21" spans="2:7" ht="15" thickBot="1" x14ac:dyDescent="0.35">
      <c r="B21" s="116" t="s">
        <v>60</v>
      </c>
      <c r="C21" s="117"/>
      <c r="D21" s="62">
        <f>D15/Backend!$G$15/$E$11</f>
        <v>10.985175420316649</v>
      </c>
      <c r="E21" s="74" t="str">
        <f>_xlfn.CONCAT(" ± ",MROUND(ROUND(Backend!$G$14,0)/Backend!$G$15/E$11,0.1))</f>
        <v xml:space="preserve"> ± 3.3</v>
      </c>
      <c r="G21" s="105"/>
    </row>
    <row r="22" spans="2:7" x14ac:dyDescent="0.3">
      <c r="G22" s="105"/>
    </row>
    <row r="23" spans="2:7" ht="23.4" x14ac:dyDescent="0.45">
      <c r="B23" s="50" t="s">
        <v>142</v>
      </c>
      <c r="G23" s="105"/>
    </row>
    <row r="24" spans="2:7" ht="15" thickBot="1" x14ac:dyDescent="0.35">
      <c r="B24" s="2" t="s">
        <v>65</v>
      </c>
    </row>
    <row r="25" spans="2:7" ht="15" thickBot="1" x14ac:dyDescent="0.35">
      <c r="B25" s="87" t="s">
        <v>54</v>
      </c>
      <c r="C25" s="88" t="s">
        <v>67</v>
      </c>
    </row>
    <row r="26" spans="2:7" ht="15" thickBot="1" x14ac:dyDescent="0.35">
      <c r="B26" s="89" t="s">
        <v>66</v>
      </c>
      <c r="C26" s="90" t="s">
        <v>68</v>
      </c>
    </row>
    <row r="28" spans="2:7" ht="15" thickBot="1" x14ac:dyDescent="0.35">
      <c r="B28" s="110" t="s">
        <v>143</v>
      </c>
      <c r="C28" s="110"/>
      <c r="D28" s="110"/>
      <c r="E28" s="111"/>
    </row>
    <row r="29" spans="2:7" ht="15" thickBot="1" x14ac:dyDescent="0.35">
      <c r="B29" s="112" t="s">
        <v>108</v>
      </c>
      <c r="C29" s="114" t="s">
        <v>144</v>
      </c>
      <c r="D29" s="115"/>
      <c r="E29" s="102"/>
    </row>
    <row r="30" spans="2:7" ht="15" thickBot="1" x14ac:dyDescent="0.35">
      <c r="B30" s="113"/>
      <c r="C30" s="91" t="s">
        <v>145</v>
      </c>
      <c r="D30" s="92" t="s">
        <v>137</v>
      </c>
      <c r="E30" s="103"/>
    </row>
    <row r="31" spans="2:7" x14ac:dyDescent="0.3">
      <c r="B31" s="93" t="s">
        <v>30</v>
      </c>
      <c r="C31" s="94">
        <v>6.5</v>
      </c>
      <c r="D31" s="95">
        <v>8.5</v>
      </c>
      <c r="E31" s="104"/>
    </row>
    <row r="32" spans="2:7" x14ac:dyDescent="0.3">
      <c r="B32" s="96" t="s">
        <v>29</v>
      </c>
      <c r="C32" s="97">
        <v>35</v>
      </c>
      <c r="D32" s="98">
        <v>36</v>
      </c>
      <c r="E32" s="104"/>
    </row>
    <row r="33" spans="2:5" x14ac:dyDescent="0.3">
      <c r="B33" s="96" t="s">
        <v>133</v>
      </c>
      <c r="C33" s="97">
        <v>600</v>
      </c>
      <c r="D33" s="98">
        <v>470</v>
      </c>
      <c r="E33" s="104"/>
    </row>
    <row r="34" spans="2:5" ht="15" thickBot="1" x14ac:dyDescent="0.35">
      <c r="B34" s="99" t="s">
        <v>105</v>
      </c>
      <c r="C34" s="100">
        <v>12</v>
      </c>
      <c r="D34" s="101">
        <v>13</v>
      </c>
      <c r="E34" s="104"/>
    </row>
    <row r="35" spans="2:5" x14ac:dyDescent="0.3">
      <c r="B35" s="105"/>
      <c r="C35" s="104"/>
      <c r="D35" s="104"/>
      <c r="E35" s="104"/>
    </row>
  </sheetData>
  <sheetProtection algorithmName="SHA-512" hashValue="XIlQ1+rJKsmqFqh0vm6H38+x1X0stvOQAOWnQugRaucZLCV32tkwMjVOjW0u8j6tlIaSdZ+mT3pREoFtf+4hxg==" saltValue="89MzagaMeybi4r91kqh6qA==" spinCount="100000" sheet="1" objects="1" scenarios="1"/>
  <mergeCells count="19">
    <mergeCell ref="B14:C14"/>
    <mergeCell ref="B15:C15"/>
    <mergeCell ref="C2:E2"/>
    <mergeCell ref="C3:D3"/>
    <mergeCell ref="B2:B3"/>
    <mergeCell ref="C4:D4"/>
    <mergeCell ref="C5:D5"/>
    <mergeCell ref="B9:D9"/>
    <mergeCell ref="B10:D10"/>
    <mergeCell ref="B11:D11"/>
    <mergeCell ref="B8:E8"/>
    <mergeCell ref="B28:E28"/>
    <mergeCell ref="B29:B30"/>
    <mergeCell ref="C29:D29"/>
    <mergeCell ref="B16:C16"/>
    <mergeCell ref="B18:C18"/>
    <mergeCell ref="B19:C19"/>
    <mergeCell ref="B20:C20"/>
    <mergeCell ref="B21:C21"/>
  </mergeCells>
  <phoneticPr fontId="1" type="noConversion"/>
  <conditionalFormatting sqref="D6:D7">
    <cfRule type="expression" dxfId="2" priority="2">
      <formula>IF($C6="Custom",TRUE,FALSE)</formula>
    </cfRule>
  </conditionalFormatting>
  <conditionalFormatting sqref="E4:E7">
    <cfRule type="expression" dxfId="1" priority="1">
      <formula>IF($F4&gt;0,1,0)</formula>
    </cfRule>
  </conditionalFormatting>
  <conditionalFormatting sqref="E6:E7">
    <cfRule type="expression" dxfId="0" priority="3">
      <formula>IF($C6&lt;&gt;"Custom",TRUE,FALSE)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12667CCC-AB9F-482F-B1E3-B4A0E572C447}">
          <x14:formula1>
            <xm:f>Dropdowns!$D$2:$D$7</xm:f>
          </x14:formula1>
          <xm:sqref>C6</xm:sqref>
        </x14:dataValidation>
        <x14:dataValidation type="list" allowBlank="1" showInputMessage="1" showErrorMessage="1" xr:uid="{4A9E90D4-FD75-45D3-8F0D-18FCF4BEA0DE}">
          <x14:formula1>
            <xm:f>Dropdowns!$M$2:$M$5</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0FD2F-B864-4A0F-A1AF-8B738674738D}">
  <dimension ref="A1:N7"/>
  <sheetViews>
    <sheetView workbookViewId="0">
      <selection activeCell="H23" sqref="H23"/>
    </sheetView>
  </sheetViews>
  <sheetFormatPr defaultRowHeight="14.4" x14ac:dyDescent="0.3"/>
  <cols>
    <col min="4" max="4" width="14.5546875" customWidth="1"/>
    <col min="7" max="7" width="15.5546875" customWidth="1"/>
    <col min="8" max="8" width="12.77734375" customWidth="1"/>
    <col min="10" max="10" width="10.109375" customWidth="1"/>
    <col min="11" max="11" width="13.5546875" customWidth="1"/>
  </cols>
  <sheetData>
    <row r="1" spans="1:14" x14ac:dyDescent="0.3">
      <c r="A1" t="s">
        <v>1</v>
      </c>
      <c r="B1" t="s">
        <v>103</v>
      </c>
      <c r="D1" t="s">
        <v>97</v>
      </c>
      <c r="E1" t="s">
        <v>102</v>
      </c>
      <c r="G1" t="s">
        <v>112</v>
      </c>
      <c r="H1" t="s">
        <v>122</v>
      </c>
      <c r="J1" t="s">
        <v>114</v>
      </c>
      <c r="K1" t="s">
        <v>121</v>
      </c>
      <c r="M1" t="s">
        <v>115</v>
      </c>
      <c r="N1" t="s">
        <v>113</v>
      </c>
    </row>
    <row r="2" spans="1:14" x14ac:dyDescent="0.3">
      <c r="A2" t="s">
        <v>89</v>
      </c>
      <c r="D2" t="s">
        <v>89</v>
      </c>
      <c r="G2" t="s">
        <v>89</v>
      </c>
      <c r="J2" t="s">
        <v>89</v>
      </c>
      <c r="M2" t="s">
        <v>89</v>
      </c>
    </row>
    <row r="3" spans="1:14" x14ac:dyDescent="0.3">
      <c r="A3" t="s">
        <v>86</v>
      </c>
      <c r="B3">
        <v>90</v>
      </c>
      <c r="D3" t="s">
        <v>100</v>
      </c>
      <c r="E3" s="22">
        <v>4.9662032362046702</v>
      </c>
      <c r="G3" t="s">
        <v>127</v>
      </c>
      <c r="H3" s="22">
        <v>5</v>
      </c>
      <c r="J3" t="s">
        <v>124</v>
      </c>
      <c r="K3" s="22">
        <v>9.9184326250143595</v>
      </c>
      <c r="M3" t="s">
        <v>116</v>
      </c>
      <c r="N3" s="22">
        <f>AVERAGE(Backend!O5:Z5)</f>
        <v>8.9583333333333339</v>
      </c>
    </row>
    <row r="4" spans="1:14" x14ac:dyDescent="0.3">
      <c r="A4" t="s">
        <v>87</v>
      </c>
      <c r="B4">
        <v>75</v>
      </c>
      <c r="D4" t="s">
        <v>120</v>
      </c>
      <c r="E4" s="22">
        <v>6.7628865979381398</v>
      </c>
      <c r="G4" t="s">
        <v>126</v>
      </c>
      <c r="H4" s="22">
        <v>15</v>
      </c>
      <c r="J4" t="s">
        <v>125</v>
      </c>
      <c r="K4" s="22">
        <v>16.478473581213301</v>
      </c>
      <c r="M4" t="s">
        <v>117</v>
      </c>
      <c r="N4" s="22">
        <f>AVERAGE(Backend!O5:R5,Backend!X5:Z5)</f>
        <v>5.9285714285714288</v>
      </c>
    </row>
    <row r="5" spans="1:14" x14ac:dyDescent="0.3">
      <c r="A5" t="s">
        <v>88</v>
      </c>
      <c r="B5">
        <v>50</v>
      </c>
      <c r="D5" t="s">
        <v>98</v>
      </c>
      <c r="E5" s="22">
        <v>11.782935244161299</v>
      </c>
      <c r="G5" t="s">
        <v>129</v>
      </c>
      <c r="H5" s="22">
        <v>25</v>
      </c>
      <c r="J5" t="s">
        <v>123</v>
      </c>
      <c r="K5" s="22">
        <v>48.034120586316803</v>
      </c>
      <c r="M5" t="s">
        <v>118</v>
      </c>
      <c r="N5" s="22">
        <f>AVERAGE(Backend!S5:W5)</f>
        <v>13.2</v>
      </c>
    </row>
    <row r="6" spans="1:14" x14ac:dyDescent="0.3">
      <c r="D6" t="s">
        <v>99</v>
      </c>
      <c r="E6" s="22">
        <v>17.242026266416499</v>
      </c>
      <c r="G6" t="s">
        <v>130</v>
      </c>
      <c r="H6" s="22">
        <v>45</v>
      </c>
    </row>
    <row r="7" spans="1:14" x14ac:dyDescent="0.3">
      <c r="D7" t="s">
        <v>101</v>
      </c>
      <c r="E7" s="22">
        <v>22.218126824762798</v>
      </c>
    </row>
  </sheetData>
  <pageMargins left="0.7" right="0.7" top="0.75" bottom="0.75" header="0.3" footer="0.3"/>
  <tableParts count="5">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D5305-B60E-4FF8-A709-9586BF1DC8B3}">
  <dimension ref="A1:Z39"/>
  <sheetViews>
    <sheetView workbookViewId="0">
      <selection activeCell="F23" sqref="F23"/>
    </sheetView>
  </sheetViews>
  <sheetFormatPr defaultRowHeight="14.4" x14ac:dyDescent="0.3"/>
  <cols>
    <col min="1" max="1" width="31.6640625" bestFit="1" customWidth="1"/>
    <col min="7" max="13" width="9.88671875" customWidth="1"/>
  </cols>
  <sheetData>
    <row r="1" spans="1:26" ht="18" x14ac:dyDescent="0.35">
      <c r="A1" s="26" t="s">
        <v>77</v>
      </c>
      <c r="B1" s="26"/>
      <c r="C1" s="26"/>
      <c r="D1" s="26"/>
      <c r="E1" s="26"/>
      <c r="Q1" s="27"/>
    </row>
    <row r="2" spans="1:26" x14ac:dyDescent="0.3">
      <c r="A2" s="28"/>
      <c r="B2" s="28"/>
      <c r="C2" s="28"/>
      <c r="D2" s="28"/>
      <c r="E2" s="28"/>
      <c r="F2" s="28"/>
      <c r="G2" s="28"/>
      <c r="H2" s="28"/>
      <c r="I2" s="28"/>
      <c r="J2" s="28"/>
      <c r="K2" s="28"/>
      <c r="L2" s="28"/>
      <c r="M2" s="28"/>
      <c r="O2" s="28"/>
      <c r="P2" s="28"/>
      <c r="Q2" s="28"/>
      <c r="R2" s="28"/>
      <c r="S2" s="28"/>
      <c r="T2" s="28"/>
      <c r="U2" s="28"/>
      <c r="V2" s="28"/>
    </row>
    <row r="3" spans="1:26" ht="18" x14ac:dyDescent="0.35">
      <c r="A3" s="26" t="s">
        <v>73</v>
      </c>
      <c r="B3" s="29"/>
      <c r="C3" s="29"/>
      <c r="D3" s="29"/>
      <c r="E3" s="30" t="s">
        <v>78</v>
      </c>
      <c r="F3" s="29"/>
      <c r="G3" s="42" t="s">
        <v>90</v>
      </c>
      <c r="H3" s="28"/>
      <c r="I3" s="28"/>
      <c r="J3" s="28"/>
      <c r="K3" s="28"/>
      <c r="L3" s="28"/>
      <c r="M3" s="28"/>
      <c r="O3" s="29"/>
      <c r="P3" s="42" t="s">
        <v>92</v>
      </c>
      <c r="Q3" s="28"/>
      <c r="R3" s="28"/>
      <c r="S3" s="28"/>
      <c r="T3" s="28"/>
      <c r="U3" s="28"/>
      <c r="V3" s="28"/>
      <c r="W3" s="29"/>
    </row>
    <row r="4" spans="1:26" ht="16.8" thickBot="1" x14ac:dyDescent="0.35">
      <c r="B4" t="s">
        <v>31</v>
      </c>
      <c r="C4" t="s">
        <v>32</v>
      </c>
      <c r="D4" s="29"/>
      <c r="E4" s="29"/>
      <c r="F4" s="29"/>
      <c r="G4" s="43" t="s">
        <v>30</v>
      </c>
      <c r="H4" s="44" t="s">
        <v>29</v>
      </c>
      <c r="I4" s="44" t="s">
        <v>3</v>
      </c>
      <c r="J4" s="44" t="s">
        <v>0</v>
      </c>
      <c r="K4" s="44" t="s">
        <v>21</v>
      </c>
      <c r="L4" s="44" t="s">
        <v>1</v>
      </c>
      <c r="M4" s="9" t="s">
        <v>91</v>
      </c>
      <c r="O4" s="29"/>
      <c r="P4" s="43" t="s">
        <v>30</v>
      </c>
      <c r="Q4" s="44" t="s">
        <v>29</v>
      </c>
      <c r="R4" s="44" t="s">
        <v>3</v>
      </c>
      <c r="S4" s="44" t="s">
        <v>0</v>
      </c>
      <c r="T4" s="44" t="s">
        <v>21</v>
      </c>
      <c r="U4" s="44" t="s">
        <v>1</v>
      </c>
      <c r="V4" s="9" t="s">
        <v>91</v>
      </c>
      <c r="W4" s="2"/>
      <c r="X4" s="2"/>
      <c r="Z4" s="2"/>
    </row>
    <row r="5" spans="1:26" ht="15" thickBot="1" x14ac:dyDescent="0.35">
      <c r="A5" s="4" t="s">
        <v>30</v>
      </c>
      <c r="B5" s="40">
        <f>Backend!C4</f>
        <v>1.1383300000000001</v>
      </c>
      <c r="C5" s="40">
        <f>Backend!D4</f>
        <v>13.484999999999999</v>
      </c>
      <c r="D5" s="29"/>
      <c r="E5" s="1">
        <f>Calculator!E4</f>
        <v>7</v>
      </c>
      <c r="G5" s="41">
        <f>B5</f>
        <v>1.1383300000000001</v>
      </c>
      <c r="H5" s="1">
        <f t="shared" ref="H5:M5" si="0">$E5</f>
        <v>7</v>
      </c>
      <c r="I5" s="1">
        <f t="shared" si="0"/>
        <v>7</v>
      </c>
      <c r="J5" s="1">
        <f t="shared" si="0"/>
        <v>7</v>
      </c>
      <c r="K5" s="1">
        <f t="shared" si="0"/>
        <v>7</v>
      </c>
      <c r="L5" s="1">
        <f t="shared" si="0"/>
        <v>7</v>
      </c>
      <c r="M5" s="1">
        <f t="shared" si="0"/>
        <v>7</v>
      </c>
      <c r="P5" s="41">
        <f>C5</f>
        <v>13.484999999999999</v>
      </c>
      <c r="Q5" s="1">
        <f t="shared" ref="Q5:V5" si="1">$E5</f>
        <v>7</v>
      </c>
      <c r="R5" s="1">
        <f t="shared" si="1"/>
        <v>7</v>
      </c>
      <c r="S5" s="1">
        <f t="shared" si="1"/>
        <v>7</v>
      </c>
      <c r="T5" s="1">
        <f t="shared" si="1"/>
        <v>7</v>
      </c>
      <c r="U5" s="1">
        <f t="shared" si="1"/>
        <v>7</v>
      </c>
      <c r="V5" s="1">
        <f t="shared" si="1"/>
        <v>7</v>
      </c>
      <c r="W5" s="29"/>
    </row>
    <row r="6" spans="1:26" ht="15" thickBot="1" x14ac:dyDescent="0.35">
      <c r="A6" s="5" t="s">
        <v>29</v>
      </c>
      <c r="B6" s="40">
        <f>Backend!C5</f>
        <v>4.57294</v>
      </c>
      <c r="C6" s="40">
        <f>Backend!D5</f>
        <v>82.276600000000002</v>
      </c>
      <c r="D6" s="28"/>
      <c r="E6" s="1">
        <f>Calculator!E5</f>
        <v>40</v>
      </c>
      <c r="G6" s="1">
        <f t="shared" ref="G6:V11" si="2">$E6</f>
        <v>40</v>
      </c>
      <c r="H6" s="41">
        <f>B6</f>
        <v>4.57294</v>
      </c>
      <c r="I6" s="1">
        <f t="shared" si="2"/>
        <v>40</v>
      </c>
      <c r="J6" s="1">
        <f t="shared" si="2"/>
        <v>40</v>
      </c>
      <c r="K6" s="1">
        <f t="shared" si="2"/>
        <v>40</v>
      </c>
      <c r="L6" s="1">
        <f t="shared" si="2"/>
        <v>40</v>
      </c>
      <c r="M6" s="1">
        <f t="shared" si="2"/>
        <v>40</v>
      </c>
      <c r="P6" s="1">
        <f t="shared" si="2"/>
        <v>40</v>
      </c>
      <c r="Q6" s="41">
        <f>C6</f>
        <v>82.276600000000002</v>
      </c>
      <c r="R6" s="1">
        <f t="shared" si="2"/>
        <v>40</v>
      </c>
      <c r="S6" s="1">
        <f t="shared" si="2"/>
        <v>40</v>
      </c>
      <c r="T6" s="1">
        <f t="shared" si="2"/>
        <v>40</v>
      </c>
      <c r="U6" s="1">
        <f t="shared" si="2"/>
        <v>40</v>
      </c>
      <c r="V6" s="1">
        <f t="shared" si="2"/>
        <v>40</v>
      </c>
      <c r="W6" s="29"/>
    </row>
    <row r="7" spans="1:26" ht="15" thickBot="1" x14ac:dyDescent="0.35">
      <c r="A7" s="5" t="s">
        <v>3</v>
      </c>
      <c r="B7" s="40">
        <f>Backend!C6</f>
        <v>137.42500000000001</v>
      </c>
      <c r="C7" s="40">
        <f>Backend!D6</f>
        <v>1975.42</v>
      </c>
      <c r="D7" s="28"/>
      <c r="E7" s="49">
        <f>Calculator!D6</f>
        <v>600</v>
      </c>
      <c r="G7" s="1">
        <f t="shared" si="2"/>
        <v>600</v>
      </c>
      <c r="H7" s="1">
        <f t="shared" si="2"/>
        <v>600</v>
      </c>
      <c r="I7" s="41">
        <f>B7</f>
        <v>137.42500000000001</v>
      </c>
      <c r="J7" s="1">
        <f t="shared" si="2"/>
        <v>600</v>
      </c>
      <c r="K7" s="1">
        <f t="shared" si="2"/>
        <v>600</v>
      </c>
      <c r="L7" s="1">
        <f t="shared" si="2"/>
        <v>600</v>
      </c>
      <c r="M7" s="1">
        <f t="shared" si="2"/>
        <v>600</v>
      </c>
      <c r="P7" s="1">
        <f t="shared" si="2"/>
        <v>600</v>
      </c>
      <c r="Q7" s="1">
        <f t="shared" si="2"/>
        <v>600</v>
      </c>
      <c r="R7" s="41">
        <f>C7</f>
        <v>1975.42</v>
      </c>
      <c r="S7" s="1">
        <f t="shared" si="2"/>
        <v>600</v>
      </c>
      <c r="T7" s="1">
        <f t="shared" si="2"/>
        <v>600</v>
      </c>
      <c r="U7" s="1">
        <f t="shared" si="2"/>
        <v>600</v>
      </c>
      <c r="V7" s="1">
        <f t="shared" si="2"/>
        <v>600</v>
      </c>
      <c r="W7" s="29"/>
    </row>
    <row r="8" spans="1:26" ht="15" thickBot="1" x14ac:dyDescent="0.35">
      <c r="A8" s="5" t="s">
        <v>0</v>
      </c>
      <c r="B8" s="40">
        <f>Backend!C7</f>
        <v>2</v>
      </c>
      <c r="C8" s="40">
        <f>Backend!D7</f>
        <v>2205</v>
      </c>
      <c r="D8" s="28"/>
      <c r="E8" s="1" t="e">
        <f>Calculator!#REF!</f>
        <v>#REF!</v>
      </c>
      <c r="G8" s="1" t="e">
        <f t="shared" si="2"/>
        <v>#REF!</v>
      </c>
      <c r="H8" s="1" t="e">
        <f t="shared" si="2"/>
        <v>#REF!</v>
      </c>
      <c r="I8" s="1" t="e">
        <f t="shared" si="2"/>
        <v>#REF!</v>
      </c>
      <c r="J8" s="41">
        <f>B8</f>
        <v>2</v>
      </c>
      <c r="K8" s="1" t="e">
        <f t="shared" si="2"/>
        <v>#REF!</v>
      </c>
      <c r="L8" s="1" t="e">
        <f t="shared" si="2"/>
        <v>#REF!</v>
      </c>
      <c r="M8" s="1" t="e">
        <f t="shared" si="2"/>
        <v>#REF!</v>
      </c>
      <c r="P8" s="1" t="e">
        <f t="shared" si="2"/>
        <v>#REF!</v>
      </c>
      <c r="Q8" s="1" t="e">
        <f t="shared" si="2"/>
        <v>#REF!</v>
      </c>
      <c r="R8" s="1" t="e">
        <f t="shared" si="2"/>
        <v>#REF!</v>
      </c>
      <c r="S8" s="41">
        <f>C8</f>
        <v>2205</v>
      </c>
      <c r="T8" s="1" t="e">
        <f t="shared" si="2"/>
        <v>#REF!</v>
      </c>
      <c r="U8" s="1" t="e">
        <f t="shared" si="2"/>
        <v>#REF!</v>
      </c>
      <c r="V8" s="1" t="e">
        <f t="shared" si="2"/>
        <v>#REF!</v>
      </c>
      <c r="W8" s="29"/>
    </row>
    <row r="9" spans="1:26" ht="15" thickBot="1" x14ac:dyDescent="0.35">
      <c r="A9" s="5" t="s">
        <v>21</v>
      </c>
      <c r="B9" s="40">
        <f>Backend!C8</f>
        <v>1.0089999999999999</v>
      </c>
      <c r="C9" s="40">
        <f>Backend!D8</f>
        <v>29.417999999999999</v>
      </c>
      <c r="D9" s="32"/>
      <c r="E9" s="1" t="e">
        <f>Calculator!#REF!</f>
        <v>#REF!</v>
      </c>
      <c r="G9" s="1" t="e">
        <f t="shared" si="2"/>
        <v>#REF!</v>
      </c>
      <c r="H9" s="1" t="e">
        <f t="shared" si="2"/>
        <v>#REF!</v>
      </c>
      <c r="I9" s="1" t="e">
        <f t="shared" si="2"/>
        <v>#REF!</v>
      </c>
      <c r="J9" s="1" t="e">
        <f t="shared" si="2"/>
        <v>#REF!</v>
      </c>
      <c r="K9" s="41">
        <f>B9</f>
        <v>1.0089999999999999</v>
      </c>
      <c r="L9" s="1" t="e">
        <f t="shared" si="2"/>
        <v>#REF!</v>
      </c>
      <c r="M9" s="1" t="e">
        <f t="shared" si="2"/>
        <v>#REF!</v>
      </c>
      <c r="P9" s="1" t="e">
        <f t="shared" si="2"/>
        <v>#REF!</v>
      </c>
      <c r="Q9" s="1" t="e">
        <f t="shared" si="2"/>
        <v>#REF!</v>
      </c>
      <c r="R9" s="1" t="e">
        <f t="shared" si="2"/>
        <v>#REF!</v>
      </c>
      <c r="S9" s="1" t="e">
        <f t="shared" si="2"/>
        <v>#REF!</v>
      </c>
      <c r="T9" s="41">
        <f>C9</f>
        <v>29.417999999999999</v>
      </c>
      <c r="U9" s="1" t="e">
        <f t="shared" si="2"/>
        <v>#REF!</v>
      </c>
      <c r="V9" s="1" t="e">
        <f t="shared" si="2"/>
        <v>#REF!</v>
      </c>
      <c r="W9" s="33"/>
    </row>
    <row r="10" spans="1:26" ht="15" thickBot="1" x14ac:dyDescent="0.35">
      <c r="A10" s="5" t="s">
        <v>1</v>
      </c>
      <c r="B10" s="40">
        <f>Backend!C9</f>
        <v>0</v>
      </c>
      <c r="C10" s="40">
        <f>Backend!D9</f>
        <v>100</v>
      </c>
      <c r="D10" s="32"/>
      <c r="E10" s="1" t="e">
        <f>Calculator!#REF!</f>
        <v>#REF!</v>
      </c>
      <c r="G10" s="1" t="e">
        <f t="shared" si="2"/>
        <v>#REF!</v>
      </c>
      <c r="H10" s="1" t="e">
        <f t="shared" si="2"/>
        <v>#REF!</v>
      </c>
      <c r="I10" s="1" t="e">
        <f t="shared" si="2"/>
        <v>#REF!</v>
      </c>
      <c r="J10" s="1" t="e">
        <f t="shared" si="2"/>
        <v>#REF!</v>
      </c>
      <c r="K10" s="1" t="e">
        <f t="shared" si="2"/>
        <v>#REF!</v>
      </c>
      <c r="L10" s="41">
        <f>C10</f>
        <v>100</v>
      </c>
      <c r="M10" s="1" t="e">
        <f t="shared" si="2"/>
        <v>#REF!</v>
      </c>
      <c r="P10" s="1" t="e">
        <f t="shared" si="2"/>
        <v>#REF!</v>
      </c>
      <c r="Q10" s="1" t="e">
        <f t="shared" si="2"/>
        <v>#REF!</v>
      </c>
      <c r="R10" s="1" t="e">
        <f t="shared" si="2"/>
        <v>#REF!</v>
      </c>
      <c r="S10" s="1" t="e">
        <f t="shared" si="2"/>
        <v>#REF!</v>
      </c>
      <c r="T10" s="1" t="e">
        <f t="shared" si="2"/>
        <v>#REF!</v>
      </c>
      <c r="U10" s="41">
        <f>B10</f>
        <v>0</v>
      </c>
      <c r="V10" s="1" t="e">
        <f t="shared" si="2"/>
        <v>#REF!</v>
      </c>
      <c r="W10" s="29"/>
      <c r="X10" s="34"/>
    </row>
    <row r="11" spans="1:26" ht="16.8" thickBot="1" x14ac:dyDescent="0.35">
      <c r="A11" s="6" t="s">
        <v>63</v>
      </c>
      <c r="B11" s="40">
        <f>Backend!C10</f>
        <v>0.84615399999999996</v>
      </c>
      <c r="C11" s="40">
        <f>Backend!D10</f>
        <v>23.642900000000001</v>
      </c>
      <c r="D11" s="32"/>
      <c r="E11" s="1">
        <f>Calculator!E7</f>
        <v>15</v>
      </c>
      <c r="G11" s="1">
        <f t="shared" si="2"/>
        <v>15</v>
      </c>
      <c r="H11" s="1">
        <f t="shared" si="2"/>
        <v>15</v>
      </c>
      <c r="I11" s="1">
        <f t="shared" si="2"/>
        <v>15</v>
      </c>
      <c r="J11" s="1">
        <f t="shared" si="2"/>
        <v>15</v>
      </c>
      <c r="K11" s="1">
        <f t="shared" si="2"/>
        <v>15</v>
      </c>
      <c r="L11" s="1">
        <f t="shared" si="2"/>
        <v>15</v>
      </c>
      <c r="M11" s="41">
        <f>C11</f>
        <v>23.642900000000001</v>
      </c>
      <c r="P11" s="1">
        <f t="shared" si="2"/>
        <v>15</v>
      </c>
      <c r="Q11" s="1">
        <f t="shared" si="2"/>
        <v>15</v>
      </c>
      <c r="R11" s="1">
        <f t="shared" si="2"/>
        <v>15</v>
      </c>
      <c r="S11" s="1">
        <f t="shared" si="2"/>
        <v>15</v>
      </c>
      <c r="T11" s="1">
        <f t="shared" si="2"/>
        <v>15</v>
      </c>
      <c r="U11" s="1">
        <f t="shared" si="2"/>
        <v>15</v>
      </c>
      <c r="V11" s="41">
        <f>B11</f>
        <v>0.84615399999999996</v>
      </c>
      <c r="W11" s="29"/>
    </row>
    <row r="12" spans="1:26" x14ac:dyDescent="0.3">
      <c r="A12" s="28"/>
      <c r="B12" s="28"/>
      <c r="C12" s="28"/>
      <c r="D12" s="28"/>
      <c r="E12" s="28"/>
      <c r="G12" s="28"/>
      <c r="H12" s="28"/>
      <c r="I12" s="28"/>
      <c r="J12" s="28"/>
      <c r="K12" s="28"/>
      <c r="L12" s="28"/>
      <c r="M12" s="28"/>
      <c r="P12" s="28"/>
      <c r="Q12" s="28"/>
      <c r="R12" s="28"/>
      <c r="S12" s="28"/>
      <c r="T12" s="28"/>
      <c r="U12" s="28"/>
      <c r="V12" s="28"/>
      <c r="W12" s="28"/>
    </row>
    <row r="13" spans="1:26" ht="15" thickBot="1" x14ac:dyDescent="0.35">
      <c r="A13" s="28"/>
      <c r="B13" s="32"/>
      <c r="C13" s="35"/>
      <c r="D13" s="35"/>
      <c r="E13" s="35"/>
      <c r="F13" s="32"/>
      <c r="G13" s="30" t="s">
        <v>79</v>
      </c>
      <c r="H13" s="29"/>
      <c r="I13" s="29"/>
      <c r="J13" s="29"/>
      <c r="K13" s="29"/>
      <c r="L13" s="29"/>
      <c r="M13" s="29"/>
      <c r="O13" s="32"/>
      <c r="P13" s="30" t="s">
        <v>84</v>
      </c>
      <c r="Q13" s="29"/>
      <c r="R13" s="29"/>
      <c r="S13" s="29"/>
      <c r="T13" s="29"/>
      <c r="U13" s="29"/>
      <c r="V13" s="29"/>
      <c r="W13" s="35"/>
    </row>
    <row r="14" spans="1:26" ht="15" thickBot="1" x14ac:dyDescent="0.35">
      <c r="A14" s="28"/>
      <c r="B14" s="32"/>
      <c r="C14" s="32"/>
      <c r="D14" s="32"/>
      <c r="E14" s="32"/>
      <c r="F14" t="s">
        <v>24</v>
      </c>
      <c r="G14" s="1">
        <f t="shared" ref="G14:M14" si="3">G6/G5</f>
        <v>35.139195136735388</v>
      </c>
      <c r="H14" s="1">
        <f t="shared" si="3"/>
        <v>0.65327714285714289</v>
      </c>
      <c r="I14" s="1">
        <f t="shared" si="3"/>
        <v>5.7142857142857144</v>
      </c>
      <c r="J14" s="1">
        <f t="shared" si="3"/>
        <v>5.7142857142857144</v>
      </c>
      <c r="K14" s="1">
        <f t="shared" si="3"/>
        <v>5.7142857142857144</v>
      </c>
      <c r="L14" s="1">
        <f t="shared" si="3"/>
        <v>5.7142857142857144</v>
      </c>
      <c r="M14" s="1">
        <f t="shared" si="3"/>
        <v>5.7142857142857144</v>
      </c>
      <c r="O14" t="s">
        <v>24</v>
      </c>
      <c r="P14" s="1">
        <f t="shared" ref="P14:V14" si="4">P6/P5</f>
        <v>2.9662588060808308</v>
      </c>
      <c r="Q14" s="1">
        <f t="shared" si="4"/>
        <v>11.7538</v>
      </c>
      <c r="R14" s="1">
        <f t="shared" si="4"/>
        <v>5.7142857142857144</v>
      </c>
      <c r="S14" s="1">
        <f t="shared" si="4"/>
        <v>5.7142857142857144</v>
      </c>
      <c r="T14" s="1">
        <f t="shared" si="4"/>
        <v>5.7142857142857144</v>
      </c>
      <c r="U14" s="1">
        <f t="shared" si="4"/>
        <v>5.7142857142857144</v>
      </c>
      <c r="V14" s="1">
        <f t="shared" si="4"/>
        <v>5.7142857142857144</v>
      </c>
      <c r="W14" s="36"/>
      <c r="X14" s="36"/>
    </row>
    <row r="15" spans="1:26" ht="15" thickBot="1" x14ac:dyDescent="0.35">
      <c r="A15" s="28"/>
      <c r="B15" s="32"/>
      <c r="C15" s="32"/>
      <c r="D15" s="32"/>
      <c r="E15" s="32"/>
      <c r="F15" t="s">
        <v>23</v>
      </c>
      <c r="G15" s="1">
        <f>G14^2</f>
        <v>1234.7630348575681</v>
      </c>
      <c r="H15" s="1">
        <f t="shared" ref="H15:M15" si="5">H14^2</f>
        <v>0.42677102537959188</v>
      </c>
      <c r="I15" s="1">
        <f t="shared" si="5"/>
        <v>32.653061224489797</v>
      </c>
      <c r="J15" s="1">
        <f t="shared" si="5"/>
        <v>32.653061224489797</v>
      </c>
      <c r="K15" s="1">
        <f t="shared" si="5"/>
        <v>32.653061224489797</v>
      </c>
      <c r="L15" s="1">
        <f t="shared" si="5"/>
        <v>32.653061224489797</v>
      </c>
      <c r="M15" s="1">
        <f t="shared" si="5"/>
        <v>32.653061224489797</v>
      </c>
      <c r="O15" t="s">
        <v>23</v>
      </c>
      <c r="P15" s="1">
        <f>P14^2</f>
        <v>8.7986913046520758</v>
      </c>
      <c r="Q15" s="1">
        <f t="shared" ref="Q15" si="6">Q14^2</f>
        <v>138.15181444000001</v>
      </c>
      <c r="R15" s="1">
        <f t="shared" ref="R15" si="7">R14^2</f>
        <v>32.653061224489797</v>
      </c>
      <c r="S15" s="1">
        <f t="shared" ref="S15" si="8">S14^2</f>
        <v>32.653061224489797</v>
      </c>
      <c r="T15" s="1">
        <f t="shared" ref="T15" si="9">T14^2</f>
        <v>32.653061224489797</v>
      </c>
      <c r="U15" s="1">
        <f t="shared" ref="U15" si="10">U14^2</f>
        <v>32.653061224489797</v>
      </c>
      <c r="V15" s="1">
        <f t="shared" ref="V15" si="11">V14^2</f>
        <v>32.653061224489797</v>
      </c>
      <c r="W15" s="36"/>
      <c r="X15" s="36"/>
    </row>
    <row r="16" spans="1:26" ht="15" thickBot="1" x14ac:dyDescent="0.35">
      <c r="A16" s="28"/>
      <c r="B16" s="32"/>
      <c r="C16" s="32"/>
      <c r="D16" s="32"/>
      <c r="E16" s="32"/>
      <c r="F16" t="s">
        <v>25</v>
      </c>
      <c r="G16" s="1" t="e">
        <f t="shared" ref="G16:M16" si="12">G8/G5</f>
        <v>#REF!</v>
      </c>
      <c r="H16" s="1" t="e">
        <f t="shared" si="12"/>
        <v>#REF!</v>
      </c>
      <c r="I16" s="1" t="e">
        <f t="shared" si="12"/>
        <v>#REF!</v>
      </c>
      <c r="J16" s="1">
        <f t="shared" si="12"/>
        <v>0.2857142857142857</v>
      </c>
      <c r="K16" s="1" t="e">
        <f t="shared" si="12"/>
        <v>#REF!</v>
      </c>
      <c r="L16" s="1" t="e">
        <f t="shared" si="12"/>
        <v>#REF!</v>
      </c>
      <c r="M16" s="1" t="e">
        <f t="shared" si="12"/>
        <v>#REF!</v>
      </c>
      <c r="O16" t="s">
        <v>25</v>
      </c>
      <c r="P16" s="1" t="e">
        <f t="shared" ref="P16:V16" si="13">P8/P5</f>
        <v>#REF!</v>
      </c>
      <c r="Q16" s="1" t="e">
        <f t="shared" si="13"/>
        <v>#REF!</v>
      </c>
      <c r="R16" s="1" t="e">
        <f t="shared" si="13"/>
        <v>#REF!</v>
      </c>
      <c r="S16" s="1">
        <f t="shared" si="13"/>
        <v>315</v>
      </c>
      <c r="T16" s="1" t="e">
        <f t="shared" si="13"/>
        <v>#REF!</v>
      </c>
      <c r="U16" s="1" t="e">
        <f t="shared" si="13"/>
        <v>#REF!</v>
      </c>
      <c r="V16" s="1" t="e">
        <f t="shared" si="13"/>
        <v>#REF!</v>
      </c>
      <c r="W16" s="36"/>
      <c r="X16" s="36"/>
    </row>
    <row r="17" spans="1:24" ht="15" thickBot="1" x14ac:dyDescent="0.35">
      <c r="A17" s="28"/>
      <c r="B17" s="32"/>
      <c r="C17" s="32"/>
      <c r="D17" s="32"/>
      <c r="E17" s="32"/>
      <c r="F17" t="s">
        <v>26</v>
      </c>
      <c r="G17" s="1" t="e">
        <f t="shared" ref="G17:M17" si="14">G9/G5</f>
        <v>#REF!</v>
      </c>
      <c r="H17" s="1" t="e">
        <f t="shared" si="14"/>
        <v>#REF!</v>
      </c>
      <c r="I17" s="1" t="e">
        <f t="shared" si="14"/>
        <v>#REF!</v>
      </c>
      <c r="J17" s="1" t="e">
        <f t="shared" si="14"/>
        <v>#REF!</v>
      </c>
      <c r="K17" s="1">
        <f t="shared" si="14"/>
        <v>0.14414285714285713</v>
      </c>
      <c r="L17" s="1" t="e">
        <f t="shared" si="14"/>
        <v>#REF!</v>
      </c>
      <c r="M17" s="1" t="e">
        <f t="shared" si="14"/>
        <v>#REF!</v>
      </c>
      <c r="O17" t="s">
        <v>26</v>
      </c>
      <c r="P17" s="1" t="e">
        <f t="shared" ref="P17:V17" si="15">P9/P5</f>
        <v>#REF!</v>
      </c>
      <c r="Q17" s="1" t="e">
        <f t="shared" si="15"/>
        <v>#REF!</v>
      </c>
      <c r="R17" s="1" t="e">
        <f t="shared" si="15"/>
        <v>#REF!</v>
      </c>
      <c r="S17" s="1" t="e">
        <f t="shared" si="15"/>
        <v>#REF!</v>
      </c>
      <c r="T17" s="1">
        <f t="shared" si="15"/>
        <v>4.2025714285714288</v>
      </c>
      <c r="U17" s="1" t="e">
        <f t="shared" si="15"/>
        <v>#REF!</v>
      </c>
      <c r="V17" s="1" t="e">
        <f t="shared" si="15"/>
        <v>#REF!</v>
      </c>
      <c r="W17" s="36"/>
      <c r="X17" s="36"/>
    </row>
    <row r="18" spans="1:24" ht="15" thickBot="1" x14ac:dyDescent="0.35">
      <c r="A18" s="28"/>
      <c r="B18" s="32"/>
      <c r="C18" s="32"/>
      <c r="D18" s="32"/>
      <c r="E18" s="32"/>
      <c r="F18" t="s">
        <v>27</v>
      </c>
      <c r="G18" s="1">
        <f t="shared" ref="G18:M18" si="16">G7/G5</f>
        <v>527.08792705103087</v>
      </c>
      <c r="H18" s="1">
        <f t="shared" si="16"/>
        <v>85.714285714285708</v>
      </c>
      <c r="I18" s="1">
        <f t="shared" si="16"/>
        <v>19.63214285714286</v>
      </c>
      <c r="J18" s="1">
        <f t="shared" si="16"/>
        <v>85.714285714285708</v>
      </c>
      <c r="K18" s="1">
        <f t="shared" si="16"/>
        <v>85.714285714285708</v>
      </c>
      <c r="L18" s="1">
        <f t="shared" si="16"/>
        <v>85.714285714285708</v>
      </c>
      <c r="M18" s="1">
        <f t="shared" si="16"/>
        <v>85.714285714285708</v>
      </c>
      <c r="O18" t="s">
        <v>27</v>
      </c>
      <c r="P18" s="1">
        <f t="shared" ref="P18:V18" si="17">P7/P5</f>
        <v>44.493882091212463</v>
      </c>
      <c r="Q18" s="1">
        <f t="shared" si="17"/>
        <v>85.714285714285708</v>
      </c>
      <c r="R18" s="1">
        <f t="shared" si="17"/>
        <v>282.20285714285717</v>
      </c>
      <c r="S18" s="1">
        <f t="shared" si="17"/>
        <v>85.714285714285708</v>
      </c>
      <c r="T18" s="1">
        <f t="shared" si="17"/>
        <v>85.714285714285708</v>
      </c>
      <c r="U18" s="1">
        <f t="shared" si="17"/>
        <v>85.714285714285708</v>
      </c>
      <c r="V18" s="1">
        <f t="shared" si="17"/>
        <v>85.714285714285708</v>
      </c>
      <c r="W18" s="36"/>
      <c r="X18" s="36"/>
    </row>
    <row r="19" spans="1:24" ht="15" thickBot="1" x14ac:dyDescent="0.35">
      <c r="A19" s="28"/>
      <c r="B19" s="32"/>
      <c r="C19" s="32"/>
      <c r="D19" s="32"/>
      <c r="E19" s="32"/>
      <c r="F19" t="s">
        <v>1</v>
      </c>
      <c r="G19" s="1" t="e">
        <f>G10</f>
        <v>#REF!</v>
      </c>
      <c r="H19" s="1" t="e">
        <f t="shared" ref="H19:M19" si="18">H10</f>
        <v>#REF!</v>
      </c>
      <c r="I19" s="1" t="e">
        <f t="shared" si="18"/>
        <v>#REF!</v>
      </c>
      <c r="J19" s="1" t="e">
        <f t="shared" si="18"/>
        <v>#REF!</v>
      </c>
      <c r="K19" s="1" t="e">
        <f t="shared" si="18"/>
        <v>#REF!</v>
      </c>
      <c r="L19" s="1">
        <f t="shared" si="18"/>
        <v>100</v>
      </c>
      <c r="M19" s="1" t="e">
        <f t="shared" si="18"/>
        <v>#REF!</v>
      </c>
      <c r="O19" t="s">
        <v>1</v>
      </c>
      <c r="P19" s="1" t="e">
        <f>P10</f>
        <v>#REF!</v>
      </c>
      <c r="Q19" s="1" t="e">
        <f t="shared" ref="Q19:V19" si="19">Q10</f>
        <v>#REF!</v>
      </c>
      <c r="R19" s="1" t="e">
        <f t="shared" si="19"/>
        <v>#REF!</v>
      </c>
      <c r="S19" s="1" t="e">
        <f t="shared" si="19"/>
        <v>#REF!</v>
      </c>
      <c r="T19" s="1" t="e">
        <f t="shared" si="19"/>
        <v>#REF!</v>
      </c>
      <c r="U19" s="1">
        <f t="shared" si="19"/>
        <v>0</v>
      </c>
      <c r="V19" s="1" t="e">
        <f t="shared" si="19"/>
        <v>#REF!</v>
      </c>
    </row>
    <row r="20" spans="1:24" ht="15" thickBot="1" x14ac:dyDescent="0.35">
      <c r="A20" s="28"/>
      <c r="B20" s="32"/>
      <c r="C20" s="32"/>
      <c r="D20" s="32"/>
      <c r="E20" s="32"/>
      <c r="F20" t="s">
        <v>4</v>
      </c>
      <c r="G20" s="1">
        <f>G11</f>
        <v>15</v>
      </c>
      <c r="H20" s="1">
        <f t="shared" ref="H20:M20" si="20">H11</f>
        <v>15</v>
      </c>
      <c r="I20" s="1">
        <f t="shared" si="20"/>
        <v>15</v>
      </c>
      <c r="J20" s="1">
        <f t="shared" si="20"/>
        <v>15</v>
      </c>
      <c r="K20" s="1">
        <f t="shared" si="20"/>
        <v>15</v>
      </c>
      <c r="L20" s="1">
        <f t="shared" si="20"/>
        <v>15</v>
      </c>
      <c r="M20" s="1">
        <f t="shared" si="20"/>
        <v>23.642900000000001</v>
      </c>
      <c r="O20" t="s">
        <v>4</v>
      </c>
      <c r="P20" s="1">
        <f>P11</f>
        <v>15</v>
      </c>
      <c r="Q20" s="1">
        <f t="shared" ref="Q20:V20" si="21">Q11</f>
        <v>15</v>
      </c>
      <c r="R20" s="1">
        <f t="shared" si="21"/>
        <v>15</v>
      </c>
      <c r="S20" s="1">
        <f t="shared" si="21"/>
        <v>15</v>
      </c>
      <c r="T20" s="1">
        <f t="shared" si="21"/>
        <v>15</v>
      </c>
      <c r="U20" s="1">
        <f t="shared" si="21"/>
        <v>15</v>
      </c>
      <c r="V20" s="1">
        <f t="shared" si="21"/>
        <v>0.84615399999999996</v>
      </c>
    </row>
    <row r="21" spans="1:24" ht="15" thickBot="1" x14ac:dyDescent="0.35">
      <c r="A21" s="28"/>
      <c r="B21" s="32"/>
      <c r="C21" s="32"/>
      <c r="D21" s="32"/>
      <c r="E21" s="32"/>
      <c r="F21" t="s">
        <v>28</v>
      </c>
      <c r="G21" s="1">
        <f>G20^2</f>
        <v>225</v>
      </c>
      <c r="H21" s="1">
        <f t="shared" ref="H21:M21" si="22">H20^2</f>
        <v>225</v>
      </c>
      <c r="I21" s="1">
        <f t="shared" si="22"/>
        <v>225</v>
      </c>
      <c r="J21" s="1">
        <f t="shared" si="22"/>
        <v>225</v>
      </c>
      <c r="K21" s="1">
        <f t="shared" si="22"/>
        <v>225</v>
      </c>
      <c r="L21" s="1">
        <f t="shared" si="22"/>
        <v>225</v>
      </c>
      <c r="M21" s="1">
        <f t="shared" si="22"/>
        <v>558.98672041000009</v>
      </c>
      <c r="O21" t="s">
        <v>28</v>
      </c>
      <c r="P21" s="1">
        <f>P20^2</f>
        <v>225</v>
      </c>
      <c r="Q21" s="1">
        <f t="shared" ref="Q21" si="23">Q20^2</f>
        <v>225</v>
      </c>
      <c r="R21" s="1">
        <f t="shared" ref="R21" si="24">R20^2</f>
        <v>225</v>
      </c>
      <c r="S21" s="1">
        <f t="shared" ref="S21" si="25">S20^2</f>
        <v>225</v>
      </c>
      <c r="T21" s="1">
        <f t="shared" ref="T21" si="26">T20^2</f>
        <v>225</v>
      </c>
      <c r="U21" s="1">
        <f t="shared" ref="U21" si="27">U20^2</f>
        <v>225</v>
      </c>
      <c r="V21" s="1">
        <f t="shared" ref="V21" si="28">V20^2</f>
        <v>0.71597659171599992</v>
      </c>
    </row>
    <row r="22" spans="1:24" x14ac:dyDescent="0.3">
      <c r="A22" s="28"/>
      <c r="B22" s="32"/>
      <c r="C22" s="32"/>
      <c r="D22" s="32"/>
      <c r="E22" s="32"/>
      <c r="F22" s="32"/>
      <c r="H22" s="28"/>
      <c r="I22" s="28"/>
      <c r="J22" s="28"/>
      <c r="K22" s="28"/>
      <c r="L22" s="28"/>
      <c r="M22" s="28"/>
      <c r="O22" s="32"/>
      <c r="Q22" s="28"/>
      <c r="R22" s="28"/>
      <c r="S22" s="28"/>
      <c r="T22" s="28"/>
      <c r="U22" s="28"/>
      <c r="V22" s="28"/>
    </row>
    <row r="23" spans="1:24" ht="15" thickBot="1" x14ac:dyDescent="0.35">
      <c r="A23" s="28"/>
      <c r="B23" s="32"/>
      <c r="C23" s="32"/>
      <c r="D23" s="32"/>
      <c r="E23" s="32"/>
      <c r="F23" s="32"/>
      <c r="G23" s="35" t="s">
        <v>83</v>
      </c>
      <c r="H23" s="35"/>
      <c r="I23" s="35"/>
      <c r="J23" s="35"/>
      <c r="K23" s="35"/>
      <c r="L23" s="35"/>
      <c r="M23" s="35"/>
      <c r="O23" s="32"/>
      <c r="P23" s="35" t="s">
        <v>93</v>
      </c>
      <c r="Q23" s="35"/>
      <c r="R23" s="35"/>
      <c r="S23" s="35"/>
      <c r="T23" s="35"/>
      <c r="U23" s="35"/>
      <c r="V23" s="35"/>
    </row>
    <row r="24" spans="1:24" ht="15" thickBot="1" x14ac:dyDescent="0.35">
      <c r="A24" s="28"/>
      <c r="B24" s="32"/>
      <c r="C24" s="32"/>
      <c r="D24" s="32"/>
      <c r="E24" s="32"/>
      <c r="F24" t="s">
        <v>24</v>
      </c>
      <c r="G24" s="39">
        <f>(G14-Backend!$H4)/SQRT(Backend!$I4)</f>
        <v>13.982115832399296</v>
      </c>
      <c r="H24" s="39">
        <f>(H14-Backend!$H4)/SQRT(Backend!$I4)</f>
        <v>-2.1031191228631472</v>
      </c>
      <c r="I24" s="39">
        <f>(I14-Backend!$H4)/SQRT(Backend!$I4)</f>
        <v>0.25748244199810177</v>
      </c>
      <c r="J24" s="39">
        <f>(J14-Backend!$H4)/SQRT(Backend!$I4)</f>
        <v>0.25748244199810177</v>
      </c>
      <c r="K24" s="39">
        <f>(K14-Backend!$H4)/SQRT(Backend!$I4)</f>
        <v>0.25748244199810177</v>
      </c>
      <c r="L24" s="39">
        <f>(L14-Backend!$H4)/SQRT(Backend!$I4)</f>
        <v>0.25748244199810177</v>
      </c>
      <c r="M24" s="39">
        <f>(M14-Backend!$H4)/SQRT(Backend!$I4)</f>
        <v>0.25748244199810177</v>
      </c>
      <c r="O24" t="s">
        <v>24</v>
      </c>
      <c r="P24" s="39">
        <f>(P14-Backend!$H4)/SQRT(Backend!$I4)</f>
        <v>-1.0242772168199001</v>
      </c>
      <c r="Q24" s="39">
        <f>(Q14-Backend!$H4)/SQRT(Backend!$I4)</f>
        <v>3.0744875255984088</v>
      </c>
      <c r="R24" s="39">
        <f>(R14-Backend!$H4)/SQRT(Backend!$I4)</f>
        <v>0.25748244199810177</v>
      </c>
      <c r="S24" s="39">
        <f>(S14-Backend!$H4)/SQRT(Backend!$I4)</f>
        <v>0.25748244199810177</v>
      </c>
      <c r="T24" s="39">
        <f>(T14-Backend!$H4)/SQRT(Backend!$I4)</f>
        <v>0.25748244199810177</v>
      </c>
      <c r="U24" s="39">
        <f>(U14-Backend!$H4)/SQRT(Backend!$I4)</f>
        <v>0.25748244199810177</v>
      </c>
      <c r="V24" s="39">
        <f>(V14-Backend!$H4)/SQRT(Backend!$I4)</f>
        <v>0.25748244199810177</v>
      </c>
    </row>
    <row r="25" spans="1:24" ht="15" thickBot="1" x14ac:dyDescent="0.35">
      <c r="A25" s="28"/>
      <c r="B25" s="32"/>
      <c r="C25" s="32"/>
      <c r="D25" s="32"/>
      <c r="E25" s="32"/>
      <c r="F25" t="s">
        <v>23</v>
      </c>
      <c r="G25" s="39">
        <f>(G15-Backend!$H5)/SQRT(Backend!$I5)</f>
        <v>36.33960658775289</v>
      </c>
      <c r="H25" s="39">
        <f>(H15-Backend!$H5)/SQRT(Backend!$I5)</f>
        <v>-0.93055319629750388</v>
      </c>
      <c r="I25" s="39">
        <f>(I15-Backend!$H5)/SQRT(Backend!$I5)</f>
        <v>4.2503352522570814E-2</v>
      </c>
      <c r="J25" s="39">
        <f>(J15-Backend!$H5)/SQRT(Backend!$I5)</f>
        <v>4.2503352522570814E-2</v>
      </c>
      <c r="K25" s="39">
        <f>(K15-Backend!$H5)/SQRT(Backend!$I5)</f>
        <v>4.2503352522570814E-2</v>
      </c>
      <c r="L25" s="39">
        <f>(L15-Backend!$H5)/SQRT(Backend!$I5)</f>
        <v>4.2503352522570814E-2</v>
      </c>
      <c r="M25" s="39">
        <f>(M15-Backend!$H5)/SQRT(Backend!$I5)</f>
        <v>4.2503352522570814E-2</v>
      </c>
      <c r="O25" t="s">
        <v>23</v>
      </c>
      <c r="P25" s="39">
        <f>(P15-Backend!$H5)/SQRT(Backend!$I5)</f>
        <v>-0.677767293743613</v>
      </c>
      <c r="Q25" s="39">
        <f>(Q15-Backend!$H5)/SQRT(Backend!$I5)</f>
        <v>3.227984898007429</v>
      </c>
      <c r="R25" s="39">
        <f>(R15-Backend!$H5)/SQRT(Backend!$I5)</f>
        <v>4.2503352522570814E-2</v>
      </c>
      <c r="S25" s="39">
        <f>(S15-Backend!$H5)/SQRT(Backend!$I5)</f>
        <v>4.2503352522570814E-2</v>
      </c>
      <c r="T25" s="39">
        <f>(T15-Backend!$H5)/SQRT(Backend!$I5)</f>
        <v>4.2503352522570814E-2</v>
      </c>
      <c r="U25" s="39">
        <f>(U15-Backend!$H5)/SQRT(Backend!$I5)</f>
        <v>4.2503352522570814E-2</v>
      </c>
      <c r="V25" s="39">
        <f>(V15-Backend!$H5)/SQRT(Backend!$I5)</f>
        <v>4.2503352522570814E-2</v>
      </c>
    </row>
    <row r="26" spans="1:24" ht="15" thickBot="1" x14ac:dyDescent="0.35">
      <c r="A26" s="28"/>
      <c r="B26" s="29"/>
      <c r="C26" s="35"/>
      <c r="D26" s="35"/>
      <c r="E26" s="35"/>
      <c r="F26" t="s">
        <v>25</v>
      </c>
      <c r="G26" s="39" t="e">
        <f>(G16-Backend!#REF!)/SQRT(Backend!#REF!)</f>
        <v>#REF!</v>
      </c>
      <c r="H26" s="39" t="e">
        <f>(H16-Backend!#REF!)/SQRT(Backend!#REF!)</f>
        <v>#REF!</v>
      </c>
      <c r="I26" s="39" t="e">
        <f>(I16-Backend!#REF!)/SQRT(Backend!#REF!)</f>
        <v>#REF!</v>
      </c>
      <c r="J26" s="39" t="e">
        <f>(J16-Backend!#REF!)/SQRT(Backend!#REF!)</f>
        <v>#REF!</v>
      </c>
      <c r="K26" s="39" t="e">
        <f>(K16-Backend!#REF!)/SQRT(Backend!#REF!)</f>
        <v>#REF!</v>
      </c>
      <c r="L26" s="39" t="e">
        <f>(L16-Backend!#REF!)/SQRT(Backend!#REF!)</f>
        <v>#REF!</v>
      </c>
      <c r="M26" s="39" t="e">
        <f>(M16-Backend!#REF!)/SQRT(Backend!#REF!)</f>
        <v>#REF!</v>
      </c>
      <c r="O26" t="s">
        <v>25</v>
      </c>
      <c r="P26" s="39" t="e">
        <f>(P16-Backend!#REF!)/SQRT(Backend!#REF!)</f>
        <v>#REF!</v>
      </c>
      <c r="Q26" s="39" t="e">
        <f>(Q16-Backend!#REF!)/SQRT(Backend!#REF!)</f>
        <v>#REF!</v>
      </c>
      <c r="R26" s="39" t="e">
        <f>(R16-Backend!#REF!)/SQRT(Backend!#REF!)</f>
        <v>#REF!</v>
      </c>
      <c r="S26" s="39" t="e">
        <f>(S16-Backend!#REF!)/SQRT(Backend!#REF!)</f>
        <v>#REF!</v>
      </c>
      <c r="T26" s="39" t="e">
        <f>(T16-Backend!#REF!)/SQRT(Backend!#REF!)</f>
        <v>#REF!</v>
      </c>
      <c r="U26" s="39" t="e">
        <f>(U16-Backend!#REF!)/SQRT(Backend!#REF!)</f>
        <v>#REF!</v>
      </c>
      <c r="V26" s="39" t="e">
        <f>(V16-Backend!#REF!)/SQRT(Backend!#REF!)</f>
        <v>#REF!</v>
      </c>
    </row>
    <row r="27" spans="1:24" ht="15" thickBot="1" x14ac:dyDescent="0.35">
      <c r="A27" s="28"/>
      <c r="B27" s="29"/>
      <c r="C27" s="35"/>
      <c r="D27" s="35"/>
      <c r="E27" s="35"/>
      <c r="F27" t="s">
        <v>26</v>
      </c>
      <c r="G27" s="39" t="e">
        <f>(G17-Backend!#REF!)/SQRT(Backend!#REF!)</f>
        <v>#REF!</v>
      </c>
      <c r="H27" s="39" t="e">
        <f>(H17-Backend!#REF!)/SQRT(Backend!#REF!)</f>
        <v>#REF!</v>
      </c>
      <c r="I27" s="39" t="e">
        <f>(I17-Backend!#REF!)/SQRT(Backend!#REF!)</f>
        <v>#REF!</v>
      </c>
      <c r="J27" s="39" t="e">
        <f>(J17-Backend!#REF!)/SQRT(Backend!#REF!)</f>
        <v>#REF!</v>
      </c>
      <c r="K27" s="39" t="e">
        <f>(K17-Backend!#REF!)/SQRT(Backend!#REF!)</f>
        <v>#REF!</v>
      </c>
      <c r="L27" s="39" t="e">
        <f>(L17-Backend!#REF!)/SQRT(Backend!#REF!)</f>
        <v>#REF!</v>
      </c>
      <c r="M27" s="39" t="e">
        <f>(M17-Backend!#REF!)/SQRT(Backend!#REF!)</f>
        <v>#REF!</v>
      </c>
      <c r="O27" t="s">
        <v>26</v>
      </c>
      <c r="P27" s="39" t="e">
        <f>(P17-Backend!#REF!)/SQRT(Backend!#REF!)</f>
        <v>#REF!</v>
      </c>
      <c r="Q27" s="39" t="e">
        <f>(Q17-Backend!#REF!)/SQRT(Backend!#REF!)</f>
        <v>#REF!</v>
      </c>
      <c r="R27" s="39" t="e">
        <f>(R17-Backend!#REF!)/SQRT(Backend!#REF!)</f>
        <v>#REF!</v>
      </c>
      <c r="S27" s="39" t="e">
        <f>(S17-Backend!#REF!)/SQRT(Backend!#REF!)</f>
        <v>#REF!</v>
      </c>
      <c r="T27" s="39" t="e">
        <f>(T17-Backend!#REF!)/SQRT(Backend!#REF!)</f>
        <v>#REF!</v>
      </c>
      <c r="U27" s="39" t="e">
        <f>(U17-Backend!#REF!)/SQRT(Backend!#REF!)</f>
        <v>#REF!</v>
      </c>
      <c r="V27" s="39" t="e">
        <f>(V17-Backend!#REF!)/SQRT(Backend!#REF!)</f>
        <v>#REF!</v>
      </c>
    </row>
    <row r="28" spans="1:24" ht="15" thickBot="1" x14ac:dyDescent="0.35">
      <c r="A28" s="28"/>
      <c r="B28" s="28"/>
      <c r="C28" s="28"/>
      <c r="D28" s="28"/>
      <c r="E28" s="28"/>
      <c r="F28" t="s">
        <v>27</v>
      </c>
      <c r="G28" s="39">
        <f>(G18-Backend!$H6)/SQRT(Backend!$I6)</f>
        <v>8.3463234298158255</v>
      </c>
      <c r="H28" s="39">
        <f>(H18-Backend!$H6)/SQRT(Backend!$I6)</f>
        <v>-0.18593156429939517</v>
      </c>
      <c r="I28" s="39">
        <f>(I18-Backend!$H6)/SQRT(Backend!$I6)</f>
        <v>-1.4633746207245064</v>
      </c>
      <c r="J28" s="39">
        <f>(J18-Backend!$H6)/SQRT(Backend!$I6)</f>
        <v>-0.18593156429939517</v>
      </c>
      <c r="K28" s="39">
        <f>(K18-Backend!$H6)/SQRT(Backend!$I6)</f>
        <v>-0.18593156429939517</v>
      </c>
      <c r="L28" s="39">
        <f>(L18-Backend!$H6)/SQRT(Backend!$I6)</f>
        <v>-0.18593156429939517</v>
      </c>
      <c r="M28" s="39">
        <f>(M18-Backend!$H6)/SQRT(Backend!$I6)</f>
        <v>-0.18593156429939517</v>
      </c>
      <c r="O28" t="s">
        <v>27</v>
      </c>
      <c r="P28" s="39">
        <f>(P18-Backend!$H6)/SQRT(Backend!$I6)</f>
        <v>-0.98276889606040241</v>
      </c>
      <c r="Q28" s="39">
        <f>(Q18-Backend!$H6)/SQRT(Backend!$I6)</f>
        <v>-0.18593156429939517</v>
      </c>
      <c r="R28" s="39">
        <f>(R18-Backend!$H6)/SQRT(Backend!$I6)</f>
        <v>3.6124162250714673</v>
      </c>
      <c r="S28" s="39">
        <f>(S18-Backend!$H6)/SQRT(Backend!$I6)</f>
        <v>-0.18593156429939517</v>
      </c>
      <c r="T28" s="39">
        <f>(T18-Backend!$H6)/SQRT(Backend!$I6)</f>
        <v>-0.18593156429939517</v>
      </c>
      <c r="U28" s="39">
        <f>(U18-Backend!$H6)/SQRT(Backend!$I6)</f>
        <v>-0.18593156429939517</v>
      </c>
      <c r="V28" s="39">
        <f>(V18-Backend!$H6)/SQRT(Backend!$I6)</f>
        <v>-0.18593156429939517</v>
      </c>
    </row>
    <row r="29" spans="1:24" ht="15" thickBot="1" x14ac:dyDescent="0.35">
      <c r="A29" s="28"/>
      <c r="B29" s="28"/>
      <c r="C29" s="28"/>
      <c r="D29" s="28"/>
      <c r="E29" s="28"/>
      <c r="F29" t="s">
        <v>1</v>
      </c>
      <c r="G29" s="39" t="e">
        <f>(G19-Backend!#REF!)/SQRT(Backend!#REF!)</f>
        <v>#REF!</v>
      </c>
      <c r="H29" s="39" t="e">
        <f>(H19-Backend!#REF!)/SQRT(Backend!#REF!)</f>
        <v>#REF!</v>
      </c>
      <c r="I29" s="39" t="e">
        <f>(I19-Backend!#REF!)/SQRT(Backend!#REF!)</f>
        <v>#REF!</v>
      </c>
      <c r="J29" s="39" t="e">
        <f>(J19-Backend!#REF!)/SQRT(Backend!#REF!)</f>
        <v>#REF!</v>
      </c>
      <c r="K29" s="39" t="e">
        <f>(K19-Backend!#REF!)/SQRT(Backend!#REF!)</f>
        <v>#REF!</v>
      </c>
      <c r="L29" s="39" t="e">
        <f>(L19-Backend!#REF!)/SQRT(Backend!#REF!)</f>
        <v>#REF!</v>
      </c>
      <c r="M29" s="39" t="e">
        <f>(M19-Backend!#REF!)/SQRT(Backend!#REF!)</f>
        <v>#REF!</v>
      </c>
      <c r="O29" t="s">
        <v>1</v>
      </c>
      <c r="P29" s="39" t="e">
        <f>(P19-Backend!#REF!)/SQRT(Backend!#REF!)</f>
        <v>#REF!</v>
      </c>
      <c r="Q29" s="39" t="e">
        <f>(Q19-Backend!#REF!)/SQRT(Backend!#REF!)</f>
        <v>#REF!</v>
      </c>
      <c r="R29" s="39" t="e">
        <f>(R19-Backend!#REF!)/SQRT(Backend!#REF!)</f>
        <v>#REF!</v>
      </c>
      <c r="S29" s="39" t="e">
        <f>(S19-Backend!#REF!)/SQRT(Backend!#REF!)</f>
        <v>#REF!</v>
      </c>
      <c r="T29" s="39" t="e">
        <f>(T19-Backend!#REF!)/SQRT(Backend!#REF!)</f>
        <v>#REF!</v>
      </c>
      <c r="U29" s="39" t="e">
        <f>(U19-Backend!#REF!)/SQRT(Backend!#REF!)</f>
        <v>#REF!</v>
      </c>
      <c r="V29" s="39" t="e">
        <f>(V19-Backend!#REF!)/SQRT(Backend!#REF!)</f>
        <v>#REF!</v>
      </c>
    </row>
    <row r="30" spans="1:24" ht="15" thickBot="1" x14ac:dyDescent="0.35">
      <c r="A30" s="28"/>
      <c r="B30" s="32"/>
      <c r="C30" s="32"/>
      <c r="D30" s="32"/>
      <c r="E30" s="32"/>
      <c r="F30" t="s">
        <v>4</v>
      </c>
      <c r="G30" s="39">
        <f>(G20-Backend!$H7)/SQRT(Backend!$I7)</f>
        <v>0.46369863383938326</v>
      </c>
      <c r="H30" s="39">
        <f>(H20-Backend!$H7)/SQRT(Backend!$I7)</f>
        <v>0.46369863383938326</v>
      </c>
      <c r="I30" s="39">
        <f>(I20-Backend!$H7)/SQRT(Backend!$I7)</f>
        <v>0.46369863383938326</v>
      </c>
      <c r="J30" s="39">
        <f>(J20-Backend!$H7)/SQRT(Backend!$I7)</f>
        <v>0.46369863383938326</v>
      </c>
      <c r="K30" s="39">
        <f>(K20-Backend!$H7)/SQRT(Backend!$I7)</f>
        <v>0.46369863383938326</v>
      </c>
      <c r="L30" s="39">
        <f>(L20-Backend!$H7)/SQRT(Backend!$I7)</f>
        <v>0.46369863383938326</v>
      </c>
      <c r="M30" s="39">
        <f>(M20-Backend!$H7)/SQRT(Backend!$I7)</f>
        <v>2.6915778679000408</v>
      </c>
      <c r="O30" t="s">
        <v>4</v>
      </c>
      <c r="P30" s="39">
        <f>(P20-Backend!$H7)/SQRT(Backend!$I7)</f>
        <v>0.46369863383938326</v>
      </c>
      <c r="Q30" s="39">
        <f>(Q20-Backend!$H7)/SQRT(Backend!$I7)</f>
        <v>0.46369863383938326</v>
      </c>
      <c r="R30" s="39">
        <f>(R20-Backend!$H7)/SQRT(Backend!$I7)</f>
        <v>0.46369863383938326</v>
      </c>
      <c r="S30" s="39">
        <f>(S20-Backend!$H7)/SQRT(Backend!$I7)</f>
        <v>0.46369863383938326</v>
      </c>
      <c r="T30" s="39">
        <f>(T20-Backend!$H7)/SQRT(Backend!$I7)</f>
        <v>0.46369863383938326</v>
      </c>
      <c r="U30" s="39">
        <f>(U20-Backend!$H7)/SQRT(Backend!$I7)</f>
        <v>0.46369863383938326</v>
      </c>
      <c r="V30" s="39">
        <f>(V20-Backend!$H7)/SQRT(Backend!$I7)</f>
        <v>-3.1847364499279283</v>
      </c>
    </row>
    <row r="31" spans="1:24" ht="15" thickBot="1" x14ac:dyDescent="0.35">
      <c r="A31" s="28"/>
      <c r="B31" s="32"/>
      <c r="C31" s="32"/>
      <c r="D31" s="32"/>
      <c r="E31" s="32"/>
      <c r="F31" t="s">
        <v>28</v>
      </c>
      <c r="G31" s="39">
        <f>(G21-Backend!$H8)/SQRT(Backend!$I8)</f>
        <v>0.36488769521360764</v>
      </c>
      <c r="H31" s="39">
        <f>(H21-Backend!$H8)/SQRT(Backend!$I8)</f>
        <v>0.36488769521360764</v>
      </c>
      <c r="I31" s="39">
        <f>(I21-Backend!$H8)/SQRT(Backend!$I8)</f>
        <v>0.36488769521360764</v>
      </c>
      <c r="J31" s="39">
        <f>(J21-Backend!$H8)/SQRT(Backend!$I8)</f>
        <v>0.36488769521360764</v>
      </c>
      <c r="K31" s="39">
        <f>(K21-Backend!$H8)/SQRT(Backend!$I8)</f>
        <v>0.36488769521360764</v>
      </c>
      <c r="L31" s="39">
        <f>(L21-Backend!$H8)/SQRT(Backend!$I8)</f>
        <v>0.36488769521360764</v>
      </c>
      <c r="M31" s="39">
        <f>(M21-Backend!$H8)/SQRT(Backend!$I8)</f>
        <v>3.780401415245696</v>
      </c>
      <c r="O31" t="s">
        <v>28</v>
      </c>
      <c r="P31" s="39">
        <f>(P21-Backend!$H8)/SQRT(Backend!$I8)</f>
        <v>0.36488769521360764</v>
      </c>
      <c r="Q31" s="39">
        <f>(Q21-Backend!$H8)/SQRT(Backend!$I8)</f>
        <v>0.36488769521360764</v>
      </c>
      <c r="R31" s="39">
        <f>(R21-Backend!$H8)/SQRT(Backend!$I8)</f>
        <v>0.36488769521360764</v>
      </c>
      <c r="S31" s="39">
        <f>(S21-Backend!$H8)/SQRT(Backend!$I8)</f>
        <v>0.36488769521360764</v>
      </c>
      <c r="T31" s="39">
        <f>(T21-Backend!$H8)/SQRT(Backend!$I8)</f>
        <v>0.36488769521360764</v>
      </c>
      <c r="U31" s="39">
        <f>(U21-Backend!$H8)/SQRT(Backend!$I8)</f>
        <v>0.36488769521360764</v>
      </c>
      <c r="V31" s="39">
        <f>(V21-Backend!$H8)/SQRT(Backend!$I8)</f>
        <v>-1.9287518788227482</v>
      </c>
    </row>
    <row r="32" spans="1:24" ht="15" thickBot="1" x14ac:dyDescent="0.35">
      <c r="G32" s="37"/>
      <c r="H32" s="32"/>
      <c r="I32" s="32"/>
      <c r="J32" s="32"/>
      <c r="K32" s="32"/>
      <c r="L32" s="32"/>
      <c r="M32" s="32"/>
      <c r="N32" s="36"/>
      <c r="P32" s="37"/>
      <c r="Q32" s="32"/>
      <c r="R32" s="32"/>
      <c r="S32" s="32"/>
      <c r="T32" s="32"/>
      <c r="U32" s="32"/>
      <c r="V32" s="32"/>
    </row>
    <row r="33" spans="1:22" ht="15" thickBot="1" x14ac:dyDescent="0.35">
      <c r="D33" s="2" t="s">
        <v>85</v>
      </c>
      <c r="F33" s="2" t="s">
        <v>80</v>
      </c>
      <c r="G33" s="39" t="e">
        <f>(SUMPRODUCT(G24:G31,Backend!$K4:$K8)+Backend!$K9)*SQRT(Backend!$I10)+Backend!$H10</f>
        <v>#REF!</v>
      </c>
      <c r="H33" s="39" t="e">
        <f>(SUMPRODUCT(H24:H31,Backend!$K4:$K8)+Backend!$K9)*SQRT(Backend!$I10)+Backend!$H10</f>
        <v>#REF!</v>
      </c>
      <c r="I33" s="39" t="e">
        <f>(SUMPRODUCT(I24:I31,Backend!$K4:$K8)+Backend!$K9)*SQRT(Backend!$I10)+Backend!$H10</f>
        <v>#REF!</v>
      </c>
      <c r="J33" s="39" t="e">
        <f>(SUMPRODUCT(J24:J31,Backend!$K4:$K8)+Backend!$K9)*SQRT(Backend!$I10)+Backend!$H10</f>
        <v>#REF!</v>
      </c>
      <c r="K33" s="39" t="e">
        <f>(SUMPRODUCT(K24:K31,Backend!$K4:$K8)+Backend!$K9)*SQRT(Backend!$I10)+Backend!$H10</f>
        <v>#REF!</v>
      </c>
      <c r="L33" s="39" t="e">
        <f>(SUMPRODUCT(L24:L31,Backend!$K4:$K8)+Backend!$K9)*SQRT(Backend!$I10)+Backend!$H10</f>
        <v>#REF!</v>
      </c>
      <c r="M33" s="39" t="e">
        <f>(SUMPRODUCT(M24:M31,Backend!$K4:$K8)+Backend!$K9)*SQRT(Backend!$I10)+Backend!$H10</f>
        <v>#REF!</v>
      </c>
      <c r="N33" s="36"/>
      <c r="O33" s="2" t="s">
        <v>82</v>
      </c>
      <c r="P33" s="39" t="e">
        <f>(SUMPRODUCT(P24:P31,Backend!$K4:$K8)+Backend!$K9)*SQRT(Backend!$I10)+Backend!$H10</f>
        <v>#REF!</v>
      </c>
      <c r="Q33" s="39" t="e">
        <f>(SUMPRODUCT(Q24:Q31,Backend!$K4:$K8)+Backend!$K9)*SQRT(Backend!$I10)+Backend!$H10</f>
        <v>#REF!</v>
      </c>
      <c r="R33" s="39" t="e">
        <f>(SUMPRODUCT(R24:R31,Backend!$K4:$K8)+Backend!$K9)*SQRT(Backend!$I10)+Backend!$H10</f>
        <v>#REF!</v>
      </c>
      <c r="S33" s="39" t="e">
        <f>(SUMPRODUCT(S24:S31,Backend!$K4:$K8)+Backend!$K9)*SQRT(Backend!$I10)+Backend!$H10</f>
        <v>#REF!</v>
      </c>
      <c r="T33" s="39" t="e">
        <f>(SUMPRODUCT(T24:T31,Backend!$K4:$K8)+Backend!$K9)*SQRT(Backend!$I10)+Backend!$H10</f>
        <v>#REF!</v>
      </c>
      <c r="U33" s="39" t="e">
        <f>(SUMPRODUCT(U24:U31,Backend!$K4:$K8)+Backend!$K9)*SQRT(Backend!$I10)+Backend!$H10</f>
        <v>#REF!</v>
      </c>
      <c r="V33" s="39" t="e">
        <f>(SUMPRODUCT(V24:V31,Backend!$K4:$K8)+Backend!$K9)*SQRT(Backend!$I10)+Backend!$H10</f>
        <v>#REF!</v>
      </c>
    </row>
    <row r="34" spans="1:22" ht="15" thickBot="1" x14ac:dyDescent="0.35">
      <c r="D34" s="46">
        <f>Calculator!D15</f>
        <v>76.456820925403875</v>
      </c>
      <c r="F34" s="31" t="s">
        <v>81</v>
      </c>
      <c r="G34" s="45" t="e">
        <f>G33*G5</f>
        <v>#REF!</v>
      </c>
      <c r="H34" s="45" t="e">
        <f t="shared" ref="H34:M34" si="29">H33*H5</f>
        <v>#REF!</v>
      </c>
      <c r="I34" s="45" t="e">
        <f t="shared" si="29"/>
        <v>#REF!</v>
      </c>
      <c r="J34" s="45" t="e">
        <f t="shared" si="29"/>
        <v>#REF!</v>
      </c>
      <c r="K34" s="45" t="e">
        <f t="shared" si="29"/>
        <v>#REF!</v>
      </c>
      <c r="L34" s="45" t="e">
        <f t="shared" si="29"/>
        <v>#REF!</v>
      </c>
      <c r="M34" s="45" t="e">
        <f t="shared" si="29"/>
        <v>#REF!</v>
      </c>
      <c r="N34" s="36"/>
      <c r="O34" s="31" t="s">
        <v>94</v>
      </c>
      <c r="P34" s="45" t="e">
        <f>P33*P5</f>
        <v>#REF!</v>
      </c>
      <c r="Q34" s="45" t="e">
        <f t="shared" ref="Q34" si="30">Q33*Q5</f>
        <v>#REF!</v>
      </c>
      <c r="R34" s="45" t="e">
        <f t="shared" ref="R34" si="31">R33*R5</f>
        <v>#REF!</v>
      </c>
      <c r="S34" s="45" t="e">
        <f t="shared" ref="S34" si="32">S33*S5</f>
        <v>#REF!</v>
      </c>
      <c r="T34" s="45" t="e">
        <f t="shared" ref="T34" si="33">T33*T5</f>
        <v>#REF!</v>
      </c>
      <c r="U34" s="45" t="e">
        <f t="shared" ref="U34" si="34">U33*U5</f>
        <v>#REF!</v>
      </c>
      <c r="V34" s="45" t="e">
        <f t="shared" ref="V34" si="35">V33*V5</f>
        <v>#REF!</v>
      </c>
    </row>
    <row r="35" spans="1:22" x14ac:dyDescent="0.3">
      <c r="G35" s="37"/>
      <c r="H35" s="32"/>
      <c r="I35" s="32"/>
      <c r="J35" s="32"/>
      <c r="K35" s="32"/>
      <c r="L35" s="32"/>
      <c r="M35" s="32"/>
      <c r="N35" s="36"/>
      <c r="P35" s="37"/>
      <c r="Q35" s="32"/>
      <c r="R35" s="32"/>
      <c r="S35" s="32"/>
      <c r="T35" s="32"/>
      <c r="U35" s="32"/>
      <c r="V35" s="32"/>
    </row>
    <row r="36" spans="1:22" x14ac:dyDescent="0.3">
      <c r="G36" s="37"/>
      <c r="H36" s="32"/>
      <c r="I36" s="32"/>
      <c r="J36" s="32"/>
      <c r="K36" s="32"/>
      <c r="L36" s="32"/>
      <c r="M36" s="32"/>
      <c r="N36" s="36"/>
    </row>
    <row r="37" spans="1:22" x14ac:dyDescent="0.3">
      <c r="F37" t="s">
        <v>95</v>
      </c>
      <c r="G37" s="37" t="e">
        <f>$D$34-G34</f>
        <v>#REF!</v>
      </c>
      <c r="H37" s="37" t="e">
        <f t="shared" ref="H37:M37" si="36">$D$34-H34</f>
        <v>#REF!</v>
      </c>
      <c r="I37" s="37" t="e">
        <f t="shared" si="36"/>
        <v>#REF!</v>
      </c>
      <c r="J37" s="37" t="e">
        <f t="shared" si="36"/>
        <v>#REF!</v>
      </c>
      <c r="K37" s="37" t="e">
        <f t="shared" si="36"/>
        <v>#REF!</v>
      </c>
      <c r="L37" s="37" t="e">
        <f t="shared" si="36"/>
        <v>#REF!</v>
      </c>
      <c r="M37" s="37" t="e">
        <f t="shared" si="36"/>
        <v>#REF!</v>
      </c>
      <c r="N37" s="36"/>
      <c r="O37" t="s">
        <v>96</v>
      </c>
      <c r="P37" t="e">
        <f>P34-$D$34</f>
        <v>#REF!</v>
      </c>
      <c r="Q37" t="e">
        <f t="shared" ref="Q37:V37" si="37">Q34-$D$34</f>
        <v>#REF!</v>
      </c>
      <c r="R37" t="e">
        <f t="shared" si="37"/>
        <v>#REF!</v>
      </c>
      <c r="S37" t="e">
        <f t="shared" si="37"/>
        <v>#REF!</v>
      </c>
      <c r="T37" t="e">
        <f t="shared" si="37"/>
        <v>#REF!</v>
      </c>
      <c r="U37" t="e">
        <f t="shared" si="37"/>
        <v>#REF!</v>
      </c>
      <c r="V37" t="e">
        <f t="shared" si="37"/>
        <v>#REF!</v>
      </c>
    </row>
    <row r="38" spans="1:22" x14ac:dyDescent="0.3">
      <c r="A38" s="28"/>
      <c r="B38" s="38"/>
      <c r="C38" s="28"/>
      <c r="D38" s="28"/>
      <c r="E38" s="28"/>
      <c r="F38" s="28"/>
      <c r="G38" s="37"/>
      <c r="H38" s="28"/>
      <c r="I38" s="28"/>
      <c r="J38" s="28"/>
      <c r="K38" s="28"/>
      <c r="L38" s="28"/>
      <c r="M38" s="28"/>
      <c r="O38" s="32"/>
    </row>
    <row r="39" spans="1:22" x14ac:dyDescent="0.3">
      <c r="A39" s="28"/>
      <c r="B39" s="35"/>
      <c r="C39" s="35"/>
      <c r="D39" s="35"/>
      <c r="E39" s="35"/>
      <c r="F39" s="35"/>
      <c r="G39" s="35"/>
      <c r="H39" s="35"/>
      <c r="I39" s="35"/>
      <c r="J39" s="35"/>
      <c r="K39" s="35"/>
      <c r="L39" s="35"/>
      <c r="M39" s="35"/>
      <c r="N39" s="36"/>
      <c r="O39" s="3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766F-ED04-43B4-9490-EFF99AC7E5A3}">
  <dimension ref="B2:Z34"/>
  <sheetViews>
    <sheetView workbookViewId="0">
      <selection activeCell="I14" sqref="I14"/>
    </sheetView>
  </sheetViews>
  <sheetFormatPr defaultRowHeight="14.4" x14ac:dyDescent="0.3"/>
  <cols>
    <col min="2" max="2" width="22.109375" bestFit="1" customWidth="1"/>
    <col min="3" max="3" width="12" bestFit="1" customWidth="1"/>
    <col min="6" max="6" width="26.5546875" bestFit="1" customWidth="1"/>
    <col min="7" max="7" width="12.44140625" bestFit="1" customWidth="1"/>
    <col min="8" max="8" width="9.5546875" bestFit="1" customWidth="1"/>
    <col min="9" max="9" width="11.5546875" bestFit="1" customWidth="1"/>
    <col min="11" max="11" width="11.6640625" bestFit="1" customWidth="1"/>
  </cols>
  <sheetData>
    <row r="2" spans="2:26" s="26" customFormat="1" ht="18" x14ac:dyDescent="0.35">
      <c r="B2" s="26" t="s">
        <v>73</v>
      </c>
      <c r="F2" s="26" t="s">
        <v>74</v>
      </c>
      <c r="N2" s="26" t="s">
        <v>75</v>
      </c>
    </row>
    <row r="3" spans="2:26" ht="15" thickBot="1" x14ac:dyDescent="0.35">
      <c r="C3" t="s">
        <v>31</v>
      </c>
      <c r="D3" t="s">
        <v>32</v>
      </c>
      <c r="G3" t="s">
        <v>43</v>
      </c>
      <c r="H3" t="s">
        <v>69</v>
      </c>
      <c r="I3" t="s">
        <v>70</v>
      </c>
      <c r="K3" t="s">
        <v>42</v>
      </c>
      <c r="O3" t="s">
        <v>5</v>
      </c>
      <c r="P3" t="s">
        <v>6</v>
      </c>
      <c r="Q3" t="s">
        <v>7</v>
      </c>
      <c r="R3" t="s">
        <v>8</v>
      </c>
      <c r="S3" t="s">
        <v>9</v>
      </c>
      <c r="T3" t="s">
        <v>10</v>
      </c>
      <c r="U3" t="s">
        <v>11</v>
      </c>
      <c r="V3" t="s">
        <v>12</v>
      </c>
      <c r="W3" t="s">
        <v>13</v>
      </c>
      <c r="X3" t="s">
        <v>14</v>
      </c>
      <c r="Y3" t="s">
        <v>15</v>
      </c>
      <c r="Z3" t="s">
        <v>16</v>
      </c>
    </row>
    <row r="4" spans="2:26" ht="15" thickBot="1" x14ac:dyDescent="0.35">
      <c r="B4" t="s">
        <v>30</v>
      </c>
      <c r="C4" s="14">
        <v>1.1383300000000001</v>
      </c>
      <c r="D4" s="14">
        <v>13.484999999999999</v>
      </c>
      <c r="F4" t="s">
        <v>24</v>
      </c>
      <c r="G4" s="1">
        <f>Calculator!E5/Calculator!$E$4</f>
        <v>5.7142857142857144</v>
      </c>
      <c r="H4" s="25">
        <v>5.1622565767377404</v>
      </c>
      <c r="I4" s="25">
        <v>4.5965158742451804</v>
      </c>
      <c r="J4" s="24">
        <f>(G4-H4)/SQRT(I4)</f>
        <v>0.25748244199810177</v>
      </c>
      <c r="K4" s="13">
        <v>0</v>
      </c>
      <c r="L4" s="18"/>
      <c r="M4" s="20"/>
      <c r="N4" t="s">
        <v>17</v>
      </c>
      <c r="O4" s="15">
        <v>7</v>
      </c>
      <c r="P4" s="15">
        <v>7</v>
      </c>
      <c r="Q4" s="15">
        <v>9</v>
      </c>
      <c r="R4" s="15">
        <v>11</v>
      </c>
      <c r="S4" s="15">
        <v>15</v>
      </c>
      <c r="T4" s="15">
        <v>17</v>
      </c>
      <c r="U4" s="15">
        <v>19</v>
      </c>
      <c r="V4" s="15">
        <v>19</v>
      </c>
      <c r="W4" s="15">
        <v>16</v>
      </c>
      <c r="X4" s="15">
        <v>13</v>
      </c>
      <c r="Y4" s="15">
        <v>9</v>
      </c>
      <c r="Z4" s="15">
        <v>7</v>
      </c>
    </row>
    <row r="5" spans="2:26" ht="15" thickBot="1" x14ac:dyDescent="0.35">
      <c r="B5" t="s">
        <v>29</v>
      </c>
      <c r="C5" s="14">
        <v>4.57294</v>
      </c>
      <c r="D5" s="14">
        <v>82.276600000000002</v>
      </c>
      <c r="F5" t="s">
        <v>23</v>
      </c>
      <c r="G5" s="1">
        <f>G4^2</f>
        <v>32.653061224489797</v>
      </c>
      <c r="H5" s="25">
        <v>31.2454088383172</v>
      </c>
      <c r="I5" s="25">
        <v>1096.84299888839</v>
      </c>
      <c r="J5" s="24">
        <f t="shared" ref="J5:J8" si="0">(G5-H5)/SQRT(I5)</f>
        <v>4.2503352522570814E-2</v>
      </c>
      <c r="K5" s="13">
        <v>0.146555583218279</v>
      </c>
      <c r="L5" s="18"/>
      <c r="M5" s="20"/>
      <c r="N5" t="s">
        <v>44</v>
      </c>
      <c r="O5" s="15">
        <f t="shared" ref="O5:Z5" si="1">(O4+O6)/2</f>
        <v>4</v>
      </c>
      <c r="P5" s="15">
        <f t="shared" si="1"/>
        <v>4</v>
      </c>
      <c r="Q5" s="15">
        <f t="shared" si="1"/>
        <v>5.5</v>
      </c>
      <c r="R5" s="15">
        <f t="shared" si="1"/>
        <v>7</v>
      </c>
      <c r="S5" s="15">
        <f t="shared" si="1"/>
        <v>10.5</v>
      </c>
      <c r="T5" s="15">
        <f t="shared" si="1"/>
        <v>13</v>
      </c>
      <c r="U5" s="15">
        <f t="shared" si="1"/>
        <v>15</v>
      </c>
      <c r="V5" s="15">
        <f t="shared" si="1"/>
        <v>15</v>
      </c>
      <c r="W5" s="15">
        <f t="shared" si="1"/>
        <v>12.5</v>
      </c>
      <c r="X5" s="15">
        <f t="shared" si="1"/>
        <v>10</v>
      </c>
      <c r="Y5" s="15">
        <f t="shared" si="1"/>
        <v>6.5</v>
      </c>
      <c r="Z5" s="15">
        <f t="shared" si="1"/>
        <v>4.5</v>
      </c>
    </row>
    <row r="6" spans="2:26" ht="15" thickBot="1" x14ac:dyDescent="0.35">
      <c r="B6" t="s">
        <v>3</v>
      </c>
      <c r="C6" s="14">
        <v>137.42500000000001</v>
      </c>
      <c r="D6" s="14">
        <v>1975.42</v>
      </c>
      <c r="F6" t="s">
        <v>27</v>
      </c>
      <c r="G6" s="1">
        <f>Calculator!D6/Calculator!$E$4</f>
        <v>85.714285714285708</v>
      </c>
      <c r="H6" s="25">
        <v>95.332527507441498</v>
      </c>
      <c r="I6" s="25">
        <v>2675.9939972734501</v>
      </c>
      <c r="J6" s="24">
        <f t="shared" si="0"/>
        <v>-0.18593156429939517</v>
      </c>
      <c r="K6" s="13">
        <v>0.556610896461192</v>
      </c>
      <c r="L6" s="18"/>
      <c r="M6" s="20"/>
      <c r="N6" t="s">
        <v>18</v>
      </c>
      <c r="O6" s="15">
        <v>1</v>
      </c>
      <c r="P6" s="15">
        <v>1</v>
      </c>
      <c r="Q6" s="15">
        <v>2</v>
      </c>
      <c r="R6" s="15">
        <v>3</v>
      </c>
      <c r="S6" s="15">
        <v>6</v>
      </c>
      <c r="T6" s="15">
        <v>9</v>
      </c>
      <c r="U6" s="15">
        <v>11</v>
      </c>
      <c r="V6" s="15">
        <v>11</v>
      </c>
      <c r="W6" s="15">
        <v>9</v>
      </c>
      <c r="X6" s="15">
        <v>7</v>
      </c>
      <c r="Y6" s="15">
        <v>4</v>
      </c>
      <c r="Z6" s="15">
        <v>2</v>
      </c>
    </row>
    <row r="7" spans="2:26" ht="15" thickBot="1" x14ac:dyDescent="0.35">
      <c r="B7" s="75" t="s">
        <v>0</v>
      </c>
      <c r="C7" s="84">
        <v>2</v>
      </c>
      <c r="D7" s="84">
        <v>2205</v>
      </c>
      <c r="F7" t="s">
        <v>4</v>
      </c>
      <c r="G7" s="1">
        <f>Calculator!D7</f>
        <v>15</v>
      </c>
      <c r="H7" s="25">
        <v>13.201113928825601</v>
      </c>
      <c r="I7" s="25">
        <v>15.049971772139401</v>
      </c>
      <c r="J7" s="24">
        <f t="shared" si="0"/>
        <v>0.46369863383938326</v>
      </c>
      <c r="K7" s="13">
        <v>-0.24133904265030101</v>
      </c>
      <c r="L7" s="18"/>
      <c r="M7" s="20"/>
    </row>
    <row r="8" spans="2:26" ht="15" thickBot="1" x14ac:dyDescent="0.35">
      <c r="B8" s="75" t="s">
        <v>21</v>
      </c>
      <c r="C8" s="84">
        <v>1.0089999999999999</v>
      </c>
      <c r="D8" s="84">
        <v>29.417999999999999</v>
      </c>
      <c r="F8" t="s">
        <v>28</v>
      </c>
      <c r="G8" s="1">
        <f>G7^2</f>
        <v>225</v>
      </c>
      <c r="H8" s="25">
        <v>189.31938073397299</v>
      </c>
      <c r="I8" s="25">
        <v>9561.9469534080199</v>
      </c>
      <c r="J8" s="24">
        <f t="shared" si="0"/>
        <v>0.36488769521360764</v>
      </c>
      <c r="K8" s="13">
        <v>0</v>
      </c>
      <c r="L8" s="18"/>
      <c r="M8" s="20"/>
      <c r="N8" t="s">
        <v>37</v>
      </c>
      <c r="O8" s="16">
        <f t="shared" ref="O8:Z8" si="2">O9-$G$14</f>
        <v>68.482036028175784</v>
      </c>
      <c r="P8" s="16">
        <f t="shared" si="2"/>
        <v>68.482036028175784</v>
      </c>
      <c r="Q8" s="16">
        <f t="shared" si="2"/>
        <v>64.850029601561289</v>
      </c>
      <c r="R8" s="16">
        <f t="shared" si="2"/>
        <v>61.218023174946794</v>
      </c>
      <c r="S8" s="16">
        <f t="shared" si="2"/>
        <v>53.954010321717789</v>
      </c>
      <c r="T8" s="16">
        <f t="shared" si="2"/>
        <v>50.322003895103293</v>
      </c>
      <c r="U8" s="16">
        <f t="shared" si="2"/>
        <v>46.689997468488784</v>
      </c>
      <c r="V8" s="16">
        <f t="shared" si="2"/>
        <v>46.689997468488784</v>
      </c>
      <c r="W8" s="16">
        <f t="shared" si="2"/>
        <v>52.138007108410534</v>
      </c>
      <c r="X8" s="16">
        <f t="shared" si="2"/>
        <v>57.586016748332284</v>
      </c>
      <c r="Y8" s="16">
        <f t="shared" si="2"/>
        <v>64.850029601561289</v>
      </c>
      <c r="Z8" s="16">
        <f t="shared" si="2"/>
        <v>68.482036028175784</v>
      </c>
    </row>
    <row r="9" spans="2:26" ht="15" thickBot="1" x14ac:dyDescent="0.35">
      <c r="B9" s="75" t="s">
        <v>1</v>
      </c>
      <c r="C9" s="84">
        <v>0</v>
      </c>
      <c r="D9" s="84">
        <v>100</v>
      </c>
      <c r="F9" t="s">
        <v>2</v>
      </c>
      <c r="K9" s="13">
        <v>-1.3534316954610199E-2</v>
      </c>
      <c r="L9" s="18"/>
      <c r="M9" s="20"/>
      <c r="N9" t="s">
        <v>19</v>
      </c>
      <c r="O9" s="16">
        <f>((SUMPRODUCT($J$4:$J$6,$K$4:$K$6)+$K$7*(O4-$H$7)/SQRT($I$7)+$K$8*(O4^2-$H$8)/SQRT($I$8)+$K$9)*SQRT($I$10)+$H$10)*Calculator!$E$4</f>
        <v>90.98484663186187</v>
      </c>
      <c r="P9" s="16">
        <f>((SUMPRODUCT($J$4:$J$6,$K$4:$K$6)+$K$7*(P4-$H$7)/SQRT($I$7)+$K$8*(P4^2-$H$8)/SQRT($I$8)+$K$9)*SQRT($I$10)+$H$10)*Calculator!$E$4</f>
        <v>90.98484663186187</v>
      </c>
      <c r="Q9" s="16">
        <f>((SUMPRODUCT($J$4:$J$6,$K$4:$K$6)+$K$7*(Q4-$H$7)/SQRT($I$7)+$K$8*(Q4^2-$H$8)/SQRT($I$8)+$K$9)*SQRT($I$10)+$H$10)*Calculator!$E$4</f>
        <v>87.352840205247375</v>
      </c>
      <c r="R9" s="16">
        <f>((SUMPRODUCT($J$4:$J$6,$K$4:$K$6)+$K$7*(R4-$H$7)/SQRT($I$7)+$K$8*(R4^2-$H$8)/SQRT($I$8)+$K$9)*SQRT($I$10)+$H$10)*Calculator!$E$4</f>
        <v>83.72083377863288</v>
      </c>
      <c r="S9" s="16">
        <f>((SUMPRODUCT($J$4:$J$6,$K$4:$K$6)+$K$7*(S4-$H$7)/SQRT($I$7)+$K$8*(S4^2-$H$8)/SQRT($I$8)+$K$9)*SQRT($I$10)+$H$10)*Calculator!$E$4</f>
        <v>76.456820925403875</v>
      </c>
      <c r="T9" s="16">
        <f>((SUMPRODUCT($J$4:$J$6,$K$4:$K$6)+$K$7*(T4-$H$7)/SQRT($I$7)+$K$8*(T4^2-$H$8)/SQRT($I$8)+$K$9)*SQRT($I$10)+$H$10)*Calculator!$E$4</f>
        <v>72.82481449878938</v>
      </c>
      <c r="U9" s="16">
        <f>((SUMPRODUCT($J$4:$J$6,$K$4:$K$6)+$K$7*(U4-$H$7)/SQRT($I$7)+$K$8*(U4^2-$H$8)/SQRT($I$8)+$K$9)*SQRT($I$10)+$H$10)*Calculator!$E$4</f>
        <v>69.19280807217487</v>
      </c>
      <c r="V9" s="16">
        <f>((SUMPRODUCT($J$4:$J$6,$K$4:$K$6)+$K$7*(V4-$H$7)/SQRT($I$7)+$K$8*(V4^2-$H$8)/SQRT($I$8)+$K$9)*SQRT($I$10)+$H$10)*Calculator!$E$4</f>
        <v>69.19280807217487</v>
      </c>
      <c r="W9" s="16">
        <f>((SUMPRODUCT($J$4:$J$6,$K$4:$K$6)+$K$7*(W4-$H$7)/SQRT($I$7)+$K$8*(W4^2-$H$8)/SQRT($I$8)+$K$9)*SQRT($I$10)+$H$10)*Calculator!$E$4</f>
        <v>74.64081771209662</v>
      </c>
      <c r="X9" s="16">
        <f>((SUMPRODUCT($J$4:$J$6,$K$4:$K$6)+$K$7*(X4-$H$7)/SQRT($I$7)+$K$8*(X4^2-$H$8)/SQRT($I$8)+$K$9)*SQRT($I$10)+$H$10)*Calculator!$E$4</f>
        <v>80.08882735201837</v>
      </c>
      <c r="Y9" s="16">
        <f>((SUMPRODUCT($J$4:$J$6,$K$4:$K$6)+$K$7*(Y4-$H$7)/SQRT($I$7)+$K$8*(Y4^2-$H$8)/SQRT($I$8)+$K$9)*SQRT($I$10)+$H$10)*Calculator!$E$4</f>
        <v>87.352840205247375</v>
      </c>
      <c r="Z9" s="16">
        <f>((SUMPRODUCT($J$4:$J$6,$K$4:$K$6)+$K$7*(Z4-$H$7)/SQRT($I$7)+$K$8*(Z4^2-$H$8)/SQRT($I$8)+$K$9)*SQRT($I$10)+$H$10)*Calculator!$E$4</f>
        <v>90.98484663186187</v>
      </c>
    </row>
    <row r="10" spans="2:26" ht="15" thickBot="1" x14ac:dyDescent="0.35">
      <c r="B10" t="s">
        <v>4</v>
      </c>
      <c r="C10" s="14">
        <v>0.84615399999999996</v>
      </c>
      <c r="D10" s="14">
        <v>23.642900000000001</v>
      </c>
      <c r="F10" t="s">
        <v>22</v>
      </c>
      <c r="H10" s="23">
        <v>11.851132927386599</v>
      </c>
      <c r="I10" s="23">
        <v>17.390723867865901</v>
      </c>
      <c r="J10" s="19">
        <f>(SUMPRODUCT(J4:J8,K4:K8)+K9)*SQRT(I10)+H10</f>
        <v>10.922402989343411</v>
      </c>
      <c r="L10" s="18"/>
      <c r="M10" s="20"/>
      <c r="N10" t="s">
        <v>45</v>
      </c>
      <c r="O10" s="16">
        <f>((SUMPRODUCT($J$4:$J$6,$K$4:$K$6)+$K$7*(O5-$H$7)/SQRT($I$7)+$K$8*(O5^2-$H$8)/SQRT($I$8)+$K$9)*SQRT($I$10)+$H$10)*Calculator!$E$4</f>
        <v>96.432856271783621</v>
      </c>
      <c r="P10" s="16">
        <f>((SUMPRODUCT($J$4:$J$6,$K$4:$K$6)+$K$7*(P5-$H$7)/SQRT($I$7)+$K$8*(P5^2-$H$8)/SQRT($I$8)+$K$9)*SQRT($I$10)+$H$10)*Calculator!$E$4</f>
        <v>96.432856271783621</v>
      </c>
      <c r="Q10" s="16">
        <f>((SUMPRODUCT($J$4:$J$6,$K$4:$K$6)+$K$7*(Q5-$H$7)/SQRT($I$7)+$K$8*(Q5^2-$H$8)/SQRT($I$8)+$K$9)*SQRT($I$10)+$H$10)*Calculator!$E$4</f>
        <v>93.708851451822753</v>
      </c>
      <c r="R10" s="16">
        <f>((SUMPRODUCT($J$4:$J$6,$K$4:$K$6)+$K$7*(R5-$H$7)/SQRT($I$7)+$K$8*(R5^2-$H$8)/SQRT($I$8)+$K$9)*SQRT($I$10)+$H$10)*Calculator!$E$4</f>
        <v>90.98484663186187</v>
      </c>
      <c r="S10" s="16">
        <f>((SUMPRODUCT($J$4:$J$6,$K$4:$K$6)+$K$7*(S5-$H$7)/SQRT($I$7)+$K$8*(S5^2-$H$8)/SQRT($I$8)+$K$9)*SQRT($I$10)+$H$10)*Calculator!$E$4</f>
        <v>84.628835385286493</v>
      </c>
      <c r="T10" s="16">
        <f>((SUMPRODUCT($J$4:$J$6,$K$4:$K$6)+$K$7*(T5-$H$7)/SQRT($I$7)+$K$8*(T5^2-$H$8)/SQRT($I$8)+$K$9)*SQRT($I$10)+$H$10)*Calculator!$E$4</f>
        <v>80.08882735201837</v>
      </c>
      <c r="U10" s="16">
        <f>((SUMPRODUCT($J$4:$J$6,$K$4:$K$6)+$K$7*(U5-$H$7)/SQRT($I$7)+$K$8*(U5^2-$H$8)/SQRT($I$8)+$K$9)*SQRT($I$10)+$H$10)*Calculator!$E$4</f>
        <v>76.456820925403875</v>
      </c>
      <c r="V10" s="16">
        <f>((SUMPRODUCT($J$4:$J$6,$K$4:$K$6)+$K$7*(V5-$H$7)/SQRT($I$7)+$K$8*(V5^2-$H$8)/SQRT($I$8)+$K$9)*SQRT($I$10)+$H$10)*Calculator!$E$4</f>
        <v>76.456820925403875</v>
      </c>
      <c r="W10" s="16">
        <f>((SUMPRODUCT($J$4:$J$6,$K$4:$K$6)+$K$7*(W5-$H$7)/SQRT($I$7)+$K$8*(W5^2-$H$8)/SQRT($I$8)+$K$9)*SQRT($I$10)+$H$10)*Calculator!$E$4</f>
        <v>80.996828958671998</v>
      </c>
      <c r="X10" s="16">
        <f>((SUMPRODUCT($J$4:$J$6,$K$4:$K$6)+$K$7*(X5-$H$7)/SQRT($I$7)+$K$8*(X5^2-$H$8)/SQRT($I$8)+$K$9)*SQRT($I$10)+$H$10)*Calculator!$E$4</f>
        <v>85.536836991940135</v>
      </c>
      <c r="Y10" s="16">
        <f>((SUMPRODUCT($J$4:$J$6,$K$4:$K$6)+$K$7*(Y5-$H$7)/SQRT($I$7)+$K$8*(Y5^2-$H$8)/SQRT($I$8)+$K$9)*SQRT($I$10)+$H$10)*Calculator!$E$4</f>
        <v>91.892848238515498</v>
      </c>
      <c r="Z10" s="16">
        <f>((SUMPRODUCT($J$4:$J$6,$K$4:$K$6)+$K$7*(Z5-$H$7)/SQRT($I$7)+$K$8*(Z5^2-$H$8)/SQRT($I$8)+$K$9)*SQRT($I$10)+$H$10)*Calculator!$E$4</f>
        <v>95.524854665129993</v>
      </c>
    </row>
    <row r="11" spans="2:26" ht="15" thickBot="1" x14ac:dyDescent="0.35">
      <c r="L11" s="18"/>
      <c r="M11" s="20"/>
      <c r="N11" t="s">
        <v>20</v>
      </c>
      <c r="O11" s="16">
        <f>((SUMPRODUCT($J$4:$J$6,$K$4:$K$6)+$K$7*(O6-$H$7)/SQRT($I$7)+$K$8*(O6^2-$H$8)/SQRT($I$8)+$K$9)*SQRT($I$10)+$H$10)*Calculator!$E$4</f>
        <v>101.8808659117054</v>
      </c>
      <c r="P11" s="16">
        <f>((SUMPRODUCT($J$4:$J$6,$K$4:$K$6)+$K$7*(P6-$H$7)/SQRT($I$7)+$K$8*(P6^2-$H$8)/SQRT($I$8)+$K$9)*SQRT($I$10)+$H$10)*Calculator!$E$4</f>
        <v>101.8808659117054</v>
      </c>
      <c r="Q11" s="16">
        <f>((SUMPRODUCT($J$4:$J$6,$K$4:$K$6)+$K$7*(Q6-$H$7)/SQRT($I$7)+$K$8*(Q6^2-$H$8)/SQRT($I$8)+$K$9)*SQRT($I$10)+$H$10)*Calculator!$E$4</f>
        <v>100.06486269839813</v>
      </c>
      <c r="R11" s="16">
        <f>((SUMPRODUCT($J$4:$J$6,$K$4:$K$6)+$K$7*(R6-$H$7)/SQRT($I$7)+$K$8*(R6^2-$H$8)/SQRT($I$8)+$K$9)*SQRT($I$10)+$H$10)*Calculator!$E$4</f>
        <v>98.24885948509089</v>
      </c>
      <c r="S11" s="16">
        <f>((SUMPRODUCT($J$4:$J$6,$K$4:$K$6)+$K$7*(S6-$H$7)/SQRT($I$7)+$K$8*(S6^2-$H$8)/SQRT($I$8)+$K$9)*SQRT($I$10)+$H$10)*Calculator!$E$4</f>
        <v>92.800849845169125</v>
      </c>
      <c r="T11" s="16">
        <f>((SUMPRODUCT($J$4:$J$6,$K$4:$K$6)+$K$7*(T6-$H$7)/SQRT($I$7)+$K$8*(T6^2-$H$8)/SQRT($I$8)+$K$9)*SQRT($I$10)+$H$10)*Calculator!$E$4</f>
        <v>87.352840205247375</v>
      </c>
      <c r="U11" s="16">
        <f>((SUMPRODUCT($J$4:$J$6,$K$4:$K$6)+$K$7*(U6-$H$7)/SQRT($I$7)+$K$8*(U6^2-$H$8)/SQRT($I$8)+$K$9)*SQRT($I$10)+$H$10)*Calculator!$E$4</f>
        <v>83.72083377863288</v>
      </c>
      <c r="V11" s="16">
        <f>((SUMPRODUCT($J$4:$J$6,$K$4:$K$6)+$K$7*(V6-$H$7)/SQRT($I$7)+$K$8*(V6^2-$H$8)/SQRT($I$8)+$K$9)*SQRT($I$10)+$H$10)*Calculator!$E$4</f>
        <v>83.72083377863288</v>
      </c>
      <c r="W11" s="16">
        <f>((SUMPRODUCT($J$4:$J$6,$K$4:$K$6)+$K$7*(W6-$H$7)/SQRT($I$7)+$K$8*(W6^2-$H$8)/SQRT($I$8)+$K$9)*SQRT($I$10)+$H$10)*Calculator!$E$4</f>
        <v>87.352840205247375</v>
      </c>
      <c r="X11" s="16">
        <f>((SUMPRODUCT($J$4:$J$6,$K$4:$K$6)+$K$7*(X6-$H$7)/SQRT($I$7)+$K$8*(X6^2-$H$8)/SQRT($I$8)+$K$9)*SQRT($I$10)+$H$10)*Calculator!$E$4</f>
        <v>90.98484663186187</v>
      </c>
      <c r="Y11" s="16">
        <f>((SUMPRODUCT($J$4:$J$6,$K$4:$K$6)+$K$7*(Y6-$H$7)/SQRT($I$7)+$K$8*(Y6^2-$H$8)/SQRT($I$8)+$K$9)*SQRT($I$10)+$H$10)*Calculator!$E$4</f>
        <v>96.432856271783621</v>
      </c>
      <c r="Z11" s="16">
        <f>((SUMPRODUCT($J$4:$J$6,$K$4:$K$6)+$K$7*(Z6-$H$7)/SQRT($I$7)+$K$8*(Z6^2-$H$8)/SQRT($I$8)+$K$9)*SQRT($I$10)+$H$10)*Calculator!$E$4</f>
        <v>100.06486269839813</v>
      </c>
    </row>
    <row r="12" spans="2:26" ht="15" thickBot="1" x14ac:dyDescent="0.35">
      <c r="G12" t="s">
        <v>76</v>
      </c>
      <c r="H12" s="22"/>
      <c r="I12" s="22"/>
      <c r="J12" s="22"/>
      <c r="L12" s="18"/>
      <c r="M12" s="20"/>
      <c r="N12" t="s">
        <v>36</v>
      </c>
      <c r="O12" s="16">
        <f t="shared" ref="O12:Z12" si="3">O11+$G$14</f>
        <v>124.38367651539149</v>
      </c>
      <c r="P12" s="16">
        <f t="shared" si="3"/>
        <v>124.38367651539149</v>
      </c>
      <c r="Q12" s="16">
        <f t="shared" si="3"/>
        <v>122.56767330208422</v>
      </c>
      <c r="R12" s="16">
        <f t="shared" si="3"/>
        <v>120.75167008877698</v>
      </c>
      <c r="S12" s="16">
        <f t="shared" si="3"/>
        <v>115.30366044885521</v>
      </c>
      <c r="T12" s="16">
        <f t="shared" si="3"/>
        <v>109.85565080893346</v>
      </c>
      <c r="U12" s="16">
        <f t="shared" si="3"/>
        <v>106.22364438231897</v>
      </c>
      <c r="V12" s="16">
        <f t="shared" si="3"/>
        <v>106.22364438231897</v>
      </c>
      <c r="W12" s="16">
        <f t="shared" si="3"/>
        <v>109.85565080893346</v>
      </c>
      <c r="X12" s="16">
        <f t="shared" si="3"/>
        <v>113.48765723554796</v>
      </c>
      <c r="Y12" s="16">
        <f t="shared" si="3"/>
        <v>118.93566687546971</v>
      </c>
      <c r="Z12" s="16">
        <f t="shared" si="3"/>
        <v>122.56767330208422</v>
      </c>
    </row>
    <row r="13" spans="2:26" ht="15" thickBot="1" x14ac:dyDescent="0.35">
      <c r="F13" t="s">
        <v>72</v>
      </c>
      <c r="G13" s="15">
        <v>0.77086778250967103</v>
      </c>
    </row>
    <row r="14" spans="2:26" ht="15" thickBot="1" x14ac:dyDescent="0.35">
      <c r="F14" t="s">
        <v>71</v>
      </c>
      <c r="G14" s="1">
        <f>G13*SQRT(I10)*Calculator!E4</f>
        <v>22.502810603686086</v>
      </c>
      <c r="H14" s="21"/>
      <c r="I14" s="21"/>
      <c r="J14" s="21"/>
      <c r="N14" t="s">
        <v>40</v>
      </c>
      <c r="O14" s="16" cm="1">
        <f t="array" ref="O14:Z14">O8:Z8</f>
        <v>68.482036028175784</v>
      </c>
      <c r="P14" s="1">
        <v>68.482036028175784</v>
      </c>
      <c r="Q14" s="1">
        <v>64.850029601561289</v>
      </c>
      <c r="R14" s="1">
        <v>61.218023174946794</v>
      </c>
      <c r="S14" s="1">
        <v>53.954010321717789</v>
      </c>
      <c r="T14" s="1">
        <v>50.322003895103293</v>
      </c>
      <c r="U14" s="1">
        <v>46.689997468488784</v>
      </c>
      <c r="V14" s="1">
        <v>46.689997468488784</v>
      </c>
      <c r="W14" s="1">
        <v>52.138007108410534</v>
      </c>
      <c r="X14" s="1">
        <v>57.586016748332284</v>
      </c>
      <c r="Y14" s="1">
        <v>64.850029601561289</v>
      </c>
      <c r="Z14" s="1">
        <v>68.482036028175784</v>
      </c>
    </row>
    <row r="15" spans="2:26" ht="15" thickBot="1" x14ac:dyDescent="0.35">
      <c r="F15" t="s">
        <v>56</v>
      </c>
      <c r="G15" s="17">
        <v>0.87</v>
      </c>
      <c r="N15" t="s">
        <v>38</v>
      </c>
      <c r="O15" s="16">
        <f>O9-O8</f>
        <v>22.502810603686086</v>
      </c>
      <c r="P15" s="16">
        <f t="shared" ref="P15:Z15" si="4">P9-P8</f>
        <v>22.502810603686086</v>
      </c>
      <c r="Q15" s="16">
        <f t="shared" si="4"/>
        <v>22.502810603686086</v>
      </c>
      <c r="R15" s="16">
        <f t="shared" si="4"/>
        <v>22.502810603686086</v>
      </c>
      <c r="S15" s="16">
        <f t="shared" si="4"/>
        <v>22.502810603686086</v>
      </c>
      <c r="T15" s="16">
        <f t="shared" si="4"/>
        <v>22.502810603686086</v>
      </c>
      <c r="U15" s="16">
        <f t="shared" si="4"/>
        <v>22.502810603686086</v>
      </c>
      <c r="V15" s="16">
        <f t="shared" si="4"/>
        <v>22.502810603686086</v>
      </c>
      <c r="W15" s="16">
        <f t="shared" si="4"/>
        <v>22.502810603686086</v>
      </c>
      <c r="X15" s="16">
        <f t="shared" si="4"/>
        <v>22.502810603686086</v>
      </c>
      <c r="Y15" s="16">
        <f t="shared" si="4"/>
        <v>22.502810603686086</v>
      </c>
      <c r="Z15" s="16">
        <f t="shared" si="4"/>
        <v>22.502810603686086</v>
      </c>
    </row>
    <row r="16" spans="2:26" ht="15" thickBot="1" x14ac:dyDescent="0.35">
      <c r="N16" t="s">
        <v>39</v>
      </c>
      <c r="O16" s="16">
        <f>O11-O9</f>
        <v>10.896019279843529</v>
      </c>
      <c r="P16" s="16">
        <f t="shared" ref="P16:Z16" si="5">P11-P9</f>
        <v>10.896019279843529</v>
      </c>
      <c r="Q16" s="16">
        <f t="shared" si="5"/>
        <v>12.712022493150755</v>
      </c>
      <c r="R16" s="16">
        <f t="shared" si="5"/>
        <v>14.52802570645801</v>
      </c>
      <c r="S16" s="16">
        <f t="shared" si="5"/>
        <v>16.34402891976525</v>
      </c>
      <c r="T16" s="16">
        <f t="shared" si="5"/>
        <v>14.528025706457996</v>
      </c>
      <c r="U16" s="16">
        <f t="shared" si="5"/>
        <v>14.52802570645801</v>
      </c>
      <c r="V16" s="16">
        <f t="shared" si="5"/>
        <v>14.52802570645801</v>
      </c>
      <c r="W16" s="16">
        <f t="shared" si="5"/>
        <v>12.712022493150755</v>
      </c>
      <c r="X16" s="16">
        <f t="shared" si="5"/>
        <v>10.8960192798435</v>
      </c>
      <c r="Y16" s="16">
        <f t="shared" si="5"/>
        <v>9.0800160665362455</v>
      </c>
      <c r="Z16" s="16">
        <f t="shared" si="5"/>
        <v>9.0800160665362597</v>
      </c>
    </row>
    <row r="17" spans="14:26" ht="15" thickBot="1" x14ac:dyDescent="0.35">
      <c r="N17" t="s">
        <v>41</v>
      </c>
      <c r="O17" s="16" cm="1">
        <f t="array" ref="O17:Z17">O12:Z12-O11:Z11</f>
        <v>22.502810603686086</v>
      </c>
      <c r="P17" s="1">
        <v>22.502810603686086</v>
      </c>
      <c r="Q17" s="1">
        <v>22.502810603686086</v>
      </c>
      <c r="R17" s="1">
        <v>22.502810603686086</v>
      </c>
      <c r="S17" s="1">
        <v>22.502810603686086</v>
      </c>
      <c r="T17" s="1">
        <v>22.502810603686086</v>
      </c>
      <c r="U17" s="1">
        <v>22.502810603686086</v>
      </c>
      <c r="V17" s="1">
        <v>22.502810603686086</v>
      </c>
      <c r="W17" s="1">
        <v>22.502810603686086</v>
      </c>
      <c r="X17" s="1">
        <v>22.502810603686086</v>
      </c>
      <c r="Y17" s="1">
        <v>22.502810603686086</v>
      </c>
      <c r="Z17" s="1">
        <v>22.502810603686086</v>
      </c>
    </row>
    <row r="18" spans="14:26" ht="15" thickBot="1" x14ac:dyDescent="0.35"/>
    <row r="19" spans="14:26" ht="15" thickBot="1" x14ac:dyDescent="0.35">
      <c r="N19" t="s">
        <v>135</v>
      </c>
      <c r="O19" s="15">
        <v>140</v>
      </c>
      <c r="P19" s="1">
        <f>$O$19</f>
        <v>140</v>
      </c>
      <c r="Q19" s="1">
        <f t="shared" ref="Q19:Z19" si="6">$O$19</f>
        <v>140</v>
      </c>
      <c r="R19" s="1">
        <f t="shared" si="6"/>
        <v>140</v>
      </c>
      <c r="S19" s="1">
        <f t="shared" si="6"/>
        <v>140</v>
      </c>
      <c r="T19" s="1">
        <f t="shared" si="6"/>
        <v>140</v>
      </c>
      <c r="U19" s="1">
        <f t="shared" si="6"/>
        <v>140</v>
      </c>
      <c r="V19" s="1">
        <f t="shared" si="6"/>
        <v>140</v>
      </c>
      <c r="W19" s="1">
        <f t="shared" si="6"/>
        <v>140</v>
      </c>
      <c r="X19" s="1">
        <f t="shared" si="6"/>
        <v>140</v>
      </c>
      <c r="Y19" s="1">
        <f t="shared" si="6"/>
        <v>140</v>
      </c>
      <c r="Z19" s="1">
        <f t="shared" si="6"/>
        <v>140</v>
      </c>
    </row>
    <row r="20" spans="14:26" ht="15" thickBot="1" x14ac:dyDescent="0.35">
      <c r="N20" t="s">
        <v>64</v>
      </c>
      <c r="O20" s="15">
        <v>1</v>
      </c>
      <c r="P20" s="1">
        <f>$O$20</f>
        <v>1</v>
      </c>
      <c r="Q20" s="1">
        <f t="shared" ref="Q20:Z20" si="7">$O$20</f>
        <v>1</v>
      </c>
      <c r="R20" s="1">
        <f t="shared" si="7"/>
        <v>1</v>
      </c>
      <c r="S20" s="1">
        <f t="shared" si="7"/>
        <v>1</v>
      </c>
      <c r="T20" s="1">
        <f t="shared" si="7"/>
        <v>1</v>
      </c>
      <c r="U20" s="1">
        <f t="shared" si="7"/>
        <v>1</v>
      </c>
      <c r="V20" s="1">
        <f t="shared" si="7"/>
        <v>1</v>
      </c>
      <c r="W20" s="1">
        <f t="shared" si="7"/>
        <v>1</v>
      </c>
      <c r="X20" s="1">
        <f t="shared" si="7"/>
        <v>1</v>
      </c>
      <c r="Y20" s="1">
        <f t="shared" si="7"/>
        <v>1</v>
      </c>
      <c r="Z20" s="1">
        <f t="shared" si="7"/>
        <v>1</v>
      </c>
    </row>
    <row r="22" spans="14:26" ht="15" thickBot="1" x14ac:dyDescent="0.35"/>
    <row r="23" spans="14:26" ht="15" thickBot="1" x14ac:dyDescent="0.35">
      <c r="N23" t="s">
        <v>37</v>
      </c>
      <c r="O23" s="16">
        <f>O24+Backend!$G$14/Backend!$O$19*O24</f>
        <v>71.441703369000095</v>
      </c>
      <c r="P23" s="16">
        <f>P24+Backend!$G$14/Backend!$O$19*P24</f>
        <v>71.441703369000095</v>
      </c>
      <c r="Q23" s="16">
        <f>Q24+Backend!$G$14/Backend!$O$19*Q24</f>
        <v>74.412147434182401</v>
      </c>
      <c r="R23" s="16">
        <f>R24+Backend!$G$14/Backend!$O$19*R24</f>
        <v>77.640321181397425</v>
      </c>
      <c r="S23" s="16">
        <f>S24+Backend!$G$14/Backend!$O$19*S24</f>
        <v>85.0167760766481</v>
      </c>
      <c r="T23" s="16">
        <f>T24+Backend!$G$14/Backend!$O$19*T24</f>
        <v>89.256834622702684</v>
      </c>
      <c r="U23" s="16">
        <f>U24+Backend!$G$14/Backend!$O$19*U24</f>
        <v>93.94202382084552</v>
      </c>
      <c r="V23" s="16">
        <f>V24+Backend!$G$14/Backend!$O$19*V24</f>
        <v>93.94202382084552</v>
      </c>
      <c r="W23" s="16">
        <f>W24+Backend!$G$14/Backend!$O$19*W24</f>
        <v>87.085225261325164</v>
      </c>
      <c r="X23" s="16">
        <f>X24+Backend!$G$14/Backend!$O$19*X24</f>
        <v>81.161288522519868</v>
      </c>
      <c r="Y23" s="16">
        <f>Y24+Backend!$G$14/Backend!$O$19*Y24</f>
        <v>74.412147434182401</v>
      </c>
      <c r="Z23" s="16">
        <f>Z24+Backend!$G$14/Backend!$O$19*Z24</f>
        <v>71.441703369000095</v>
      </c>
    </row>
    <row r="24" spans="14:26" ht="15" thickBot="1" x14ac:dyDescent="0.35">
      <c r="N24" t="s">
        <v>19</v>
      </c>
      <c r="O24" s="16">
        <f>$O$19/O9*Calculator!$E$5</f>
        <v>61.548710662319706</v>
      </c>
      <c r="P24" s="16">
        <f>$O$19/P9*Calculator!$E$5</f>
        <v>61.548710662319706</v>
      </c>
      <c r="Q24" s="16">
        <f>$O$19/Q9*Calculator!$E$5</f>
        <v>64.107818209940731</v>
      </c>
      <c r="R24" s="16">
        <f>$O$19/R9*Calculator!$E$5</f>
        <v>66.888965950900797</v>
      </c>
      <c r="S24" s="16">
        <f>$O$19/S9*Calculator!$E$5</f>
        <v>73.24395563691715</v>
      </c>
      <c r="T24" s="16">
        <f>$O$19/T9*Calculator!$E$5</f>
        <v>76.896865972697995</v>
      </c>
      <c r="U24" s="16">
        <f>$O$19/U9*Calculator!$E$5</f>
        <v>80.93326685280141</v>
      </c>
      <c r="V24" s="16">
        <f>$O$19/V9*Calculator!$E$5</f>
        <v>80.93326685280141</v>
      </c>
      <c r="W24" s="16">
        <f>$O$19/W9*Calculator!$E$5</f>
        <v>75.025973343435638</v>
      </c>
      <c r="X24" s="16">
        <f>$O$19/X9*Calculator!$E$5</f>
        <v>69.922362271407025</v>
      </c>
      <c r="Y24" s="16">
        <f>$O$19/Y9*Calculator!$E$5</f>
        <v>64.107818209940731</v>
      </c>
      <c r="Z24" s="16">
        <f>$O$19/Z9*Calculator!$E$5</f>
        <v>61.548710662319706</v>
      </c>
    </row>
    <row r="25" spans="14:26" ht="15" thickBot="1" x14ac:dyDescent="0.35">
      <c r="N25" t="s">
        <v>45</v>
      </c>
      <c r="O25" s="16">
        <f>$O$19/O10*Calculator!$E$5</f>
        <v>58.071493643381451</v>
      </c>
      <c r="P25" s="16">
        <f>$O$19/P10*Calculator!$E$5</f>
        <v>58.071493643381451</v>
      </c>
      <c r="Q25" s="16">
        <f>$O$19/Q10*Calculator!$E$5</f>
        <v>59.759562872020169</v>
      </c>
      <c r="R25" s="16">
        <f>$O$19/R10*Calculator!$E$5</f>
        <v>61.548710662319706</v>
      </c>
      <c r="S25" s="16">
        <f>$O$19/S10*Calculator!$E$5</f>
        <v>66.171299350925622</v>
      </c>
      <c r="T25" s="16">
        <f>$O$19/T10*Calculator!$E$5</f>
        <v>69.922362271407025</v>
      </c>
      <c r="U25" s="16">
        <f>$O$19/U10*Calculator!$E$5</f>
        <v>73.24395563691715</v>
      </c>
      <c r="V25" s="16">
        <f>$O$19/V10*Calculator!$E$5</f>
        <v>73.24395563691715</v>
      </c>
      <c r="W25" s="16">
        <f>$O$19/W10*Calculator!$E$5</f>
        <v>69.138509149010716</v>
      </c>
      <c r="X25" s="16">
        <f>$O$19/X10*Calculator!$E$5</f>
        <v>65.468869284091838</v>
      </c>
      <c r="Y25" s="16">
        <f>$O$19/Y10*Calculator!$E$5</f>
        <v>60.940542243992006</v>
      </c>
      <c r="Z25" s="16">
        <f>$O$19/Z10*Calculator!$E$5</f>
        <v>58.623486208183692</v>
      </c>
    </row>
    <row r="26" spans="14:26" ht="15" thickBot="1" x14ac:dyDescent="0.35">
      <c r="N26" t="s">
        <v>20</v>
      </c>
      <c r="O26" s="16">
        <f>$O$19/O11*Calculator!$E$5</f>
        <v>54.966160229274209</v>
      </c>
      <c r="P26" s="16">
        <f>$O$19/P11*Calculator!$E$5</f>
        <v>54.966160229274209</v>
      </c>
      <c r="Q26" s="16">
        <f>$O$19/Q11*Calculator!$E$5</f>
        <v>55.963700433775202</v>
      </c>
      <c r="R26" s="16">
        <f>$O$19/R11*Calculator!$E$5</f>
        <v>56.998117121652605</v>
      </c>
      <c r="S26" s="16">
        <f>$O$19/S11*Calculator!$E$5</f>
        <v>60.344274964541349</v>
      </c>
      <c r="T26" s="16">
        <f>$O$19/T11*Calculator!$E$5</f>
        <v>64.107818209940731</v>
      </c>
      <c r="U26" s="16">
        <f>$O$19/U11*Calculator!$E$5</f>
        <v>66.888965950900797</v>
      </c>
      <c r="V26" s="16">
        <f>$O$19/V11*Calculator!$E$5</f>
        <v>66.888965950900797</v>
      </c>
      <c r="W26" s="16">
        <f>$O$19/W11*Calculator!$E$5</f>
        <v>64.107818209940731</v>
      </c>
      <c r="X26" s="16">
        <f>$O$19/X11*Calculator!$E$5</f>
        <v>61.548710662319706</v>
      </c>
      <c r="Y26" s="16">
        <f>$O$19/Y11*Calculator!$E$5</f>
        <v>58.071493643381451</v>
      </c>
      <c r="Z26" s="16">
        <f>$O$19/Z11*Calculator!$E$5</f>
        <v>55.963700433775202</v>
      </c>
    </row>
    <row r="27" spans="14:26" ht="15" thickBot="1" x14ac:dyDescent="0.35">
      <c r="N27" t="s">
        <v>36</v>
      </c>
      <c r="O27" s="16">
        <f>O26-Backend!$G$14/Backend!$O$19*O26</f>
        <v>46.131209563194062</v>
      </c>
      <c r="P27" s="16">
        <f>P26-Backend!$G$14/Backend!$O$19*P26</f>
        <v>46.131209563194062</v>
      </c>
      <c r="Q27" s="16">
        <f>Q26-Backend!$G$14/Backend!$O$19*Q26</f>
        <v>46.968410779899003</v>
      </c>
      <c r="R27" s="16">
        <f>R26-Backend!$G$14/Backend!$O$19*R26</f>
        <v>47.836561161972135</v>
      </c>
      <c r="S27" s="16">
        <f>S26-Backend!$G$14/Backend!$O$19*S26</f>
        <v>50.644876460656846</v>
      </c>
      <c r="T27" s="16">
        <f>T26-Backend!$G$14/Backend!$O$19*T26</f>
        <v>53.803488985699062</v>
      </c>
      <c r="U27" s="16">
        <f>U26-Backend!$G$14/Backend!$O$19*U26</f>
        <v>56.137610720404169</v>
      </c>
      <c r="V27" s="16">
        <f>V26-Backend!$G$14/Backend!$O$19*V26</f>
        <v>56.137610720404169</v>
      </c>
      <c r="W27" s="16">
        <f>W26-Backend!$G$14/Backend!$O$19*W26</f>
        <v>53.803488985699062</v>
      </c>
      <c r="X27" s="16">
        <f>X26-Backend!$G$14/Backend!$O$19*X26</f>
        <v>51.655717955639318</v>
      </c>
      <c r="Y27" s="16">
        <f>Y26-Backend!$G$14/Backend!$O$19*Y26</f>
        <v>48.737409193880211</v>
      </c>
      <c r="Z27" s="16">
        <f>Z26-Backend!$G$14/Backend!$O$19*Z26</f>
        <v>46.968410779899003</v>
      </c>
    </row>
    <row r="28" spans="14:26" ht="15" thickBot="1" x14ac:dyDescent="0.35"/>
    <row r="29" spans="14:26" ht="15" thickBot="1" x14ac:dyDescent="0.35">
      <c r="N29" t="s">
        <v>40</v>
      </c>
      <c r="O29" s="16" cm="1">
        <f t="array" ref="O29:Z29">O27:Z27</f>
        <v>46.131209563194062</v>
      </c>
      <c r="P29" s="1">
        <v>46.131209563194062</v>
      </c>
      <c r="Q29" s="1">
        <v>46.968410779899003</v>
      </c>
      <c r="R29" s="1">
        <v>47.836561161972135</v>
      </c>
      <c r="S29" s="1">
        <v>50.644876460656846</v>
      </c>
      <c r="T29" s="1">
        <v>53.803488985699062</v>
      </c>
      <c r="U29" s="1">
        <v>56.137610720404169</v>
      </c>
      <c r="V29" s="1">
        <v>56.137610720404169</v>
      </c>
      <c r="W29" s="1">
        <v>53.803488985699062</v>
      </c>
      <c r="X29" s="1">
        <v>51.655717955639318</v>
      </c>
      <c r="Y29" s="1">
        <v>48.737409193880211</v>
      </c>
      <c r="Z29" s="1">
        <v>46.968410779899003</v>
      </c>
    </row>
    <row r="30" spans="14:26" ht="15" thickBot="1" x14ac:dyDescent="0.35">
      <c r="N30" t="s">
        <v>38</v>
      </c>
      <c r="O30" s="16">
        <f>O26-O27</f>
        <v>8.8349506660801467</v>
      </c>
      <c r="P30" s="16">
        <f t="shared" ref="P30:Z30" si="8">P26-P27</f>
        <v>8.8349506660801467</v>
      </c>
      <c r="Q30" s="16">
        <f t="shared" si="8"/>
        <v>8.9952896538761991</v>
      </c>
      <c r="R30" s="16">
        <f t="shared" si="8"/>
        <v>9.1615559596804701</v>
      </c>
      <c r="S30" s="16">
        <f t="shared" si="8"/>
        <v>9.6993985038845025</v>
      </c>
      <c r="T30" s="16">
        <f t="shared" si="8"/>
        <v>10.30432922424167</v>
      </c>
      <c r="U30" s="16">
        <f t="shared" si="8"/>
        <v>10.751355230496628</v>
      </c>
      <c r="V30" s="16">
        <f t="shared" si="8"/>
        <v>10.751355230496628</v>
      </c>
      <c r="W30" s="16">
        <f t="shared" si="8"/>
        <v>10.30432922424167</v>
      </c>
      <c r="X30" s="16">
        <f t="shared" si="8"/>
        <v>9.8929927066803884</v>
      </c>
      <c r="Y30" s="16">
        <f t="shared" si="8"/>
        <v>9.3340844495012405</v>
      </c>
      <c r="Z30" s="16">
        <f t="shared" si="8"/>
        <v>8.9952896538761991</v>
      </c>
    </row>
    <row r="31" spans="14:26" ht="15" thickBot="1" x14ac:dyDescent="0.35">
      <c r="N31" t="s">
        <v>39</v>
      </c>
      <c r="O31" s="16">
        <f>O24-O26</f>
        <v>6.5825504330454976</v>
      </c>
      <c r="P31" s="16">
        <f t="shared" ref="P31:Z31" si="9">P24-P26</f>
        <v>6.5825504330454976</v>
      </c>
      <c r="Q31" s="16">
        <f t="shared" si="9"/>
        <v>8.1441177761655297</v>
      </c>
      <c r="R31" s="16">
        <f t="shared" si="9"/>
        <v>9.890848829248192</v>
      </c>
      <c r="S31" s="16">
        <f t="shared" si="9"/>
        <v>12.899680672375801</v>
      </c>
      <c r="T31" s="16">
        <f t="shared" si="9"/>
        <v>12.789047762757264</v>
      </c>
      <c r="U31" s="16">
        <f t="shared" si="9"/>
        <v>14.044300901900613</v>
      </c>
      <c r="V31" s="16">
        <f t="shared" si="9"/>
        <v>14.044300901900613</v>
      </c>
      <c r="W31" s="16">
        <f t="shared" si="9"/>
        <v>10.918155133494906</v>
      </c>
      <c r="X31" s="16">
        <f t="shared" si="9"/>
        <v>8.3736516090873181</v>
      </c>
      <c r="Y31" s="16">
        <f t="shared" si="9"/>
        <v>6.03632456655928</v>
      </c>
      <c r="Z31" s="16">
        <f t="shared" si="9"/>
        <v>5.5850102285445047</v>
      </c>
    </row>
    <row r="32" spans="14:26" ht="15" thickBot="1" x14ac:dyDescent="0.35">
      <c r="N32" t="s">
        <v>41</v>
      </c>
      <c r="O32" s="16" cm="1">
        <f t="array" ref="O32:Z32">O23:Z23-O24:Z24</f>
        <v>9.8929927066803884</v>
      </c>
      <c r="P32" s="1">
        <v>9.8929927066803884</v>
      </c>
      <c r="Q32" s="1">
        <v>10.30432922424167</v>
      </c>
      <c r="R32" s="1">
        <v>10.751355230496628</v>
      </c>
      <c r="S32" s="1">
        <v>11.77282043973095</v>
      </c>
      <c r="T32" s="1">
        <v>12.359968650004689</v>
      </c>
      <c r="U32" s="1">
        <v>13.008756968044111</v>
      </c>
      <c r="V32" s="1">
        <v>13.008756968044111</v>
      </c>
      <c r="W32" s="1">
        <v>12.059251917889526</v>
      </c>
      <c r="X32" s="1">
        <v>11.238926251112844</v>
      </c>
      <c r="Y32" s="1">
        <v>10.30432922424167</v>
      </c>
      <c r="Z32" s="1">
        <v>9.8929927066803884</v>
      </c>
    </row>
    <row r="33" spans="14:26" ht="15" thickBot="1" x14ac:dyDescent="0.35"/>
    <row r="34" spans="14:26" ht="15" thickBot="1" x14ac:dyDescent="0.35">
      <c r="N34" t="s">
        <v>61</v>
      </c>
      <c r="O34" s="1">
        <f>Calculator!$E$5</f>
        <v>40</v>
      </c>
      <c r="P34" s="1">
        <f>$O$34</f>
        <v>40</v>
      </c>
      <c r="Q34" s="1">
        <f t="shared" ref="Q34:Z34" si="10">$O$34</f>
        <v>40</v>
      </c>
      <c r="R34" s="1">
        <f t="shared" si="10"/>
        <v>40</v>
      </c>
      <c r="S34" s="1">
        <f t="shared" si="10"/>
        <v>40</v>
      </c>
      <c r="T34" s="1">
        <f t="shared" si="10"/>
        <v>40</v>
      </c>
      <c r="U34" s="1">
        <f t="shared" si="10"/>
        <v>40</v>
      </c>
      <c r="V34" s="1">
        <f t="shared" si="10"/>
        <v>40</v>
      </c>
      <c r="W34" s="1">
        <f t="shared" si="10"/>
        <v>40</v>
      </c>
      <c r="X34" s="1">
        <f t="shared" si="10"/>
        <v>40</v>
      </c>
      <c r="Y34" s="1">
        <f t="shared" si="10"/>
        <v>40</v>
      </c>
      <c r="Z34" s="1">
        <f t="shared" si="10"/>
        <v>40</v>
      </c>
    </row>
  </sheetData>
  <conditionalFormatting sqref="M4:M12">
    <cfRule type="colorScale" priority="1">
      <colorScale>
        <cfvo type="min"/>
        <cfvo type="percentile" val="50"/>
        <cfvo type="max"/>
        <color rgb="FFF8696B"/>
        <color rgb="FFFCFCFF"/>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How To Use</vt:lpstr>
      <vt:lpstr>Calculator</vt:lpstr>
      <vt:lpstr>Dropdowns</vt:lpstr>
      <vt:lpstr>Sensitivity</vt:lpstr>
      <vt:lpstr>Backend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Wyatt</dc:creator>
  <cp:lastModifiedBy>Sophie Naylor</cp:lastModifiedBy>
  <dcterms:created xsi:type="dcterms:W3CDTF">2021-09-20T13:05:16Z</dcterms:created>
  <dcterms:modified xsi:type="dcterms:W3CDTF">2024-11-25T11:30:53Z</dcterms:modified>
</cp:coreProperties>
</file>